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askell\OneDrive\EXCEL TEMPLATES\"/>
    </mc:Choice>
  </mc:AlternateContent>
  <bookViews>
    <workbookView xWindow="0" yWindow="0" windowWidth="28800" windowHeight="13020"/>
  </bookViews>
  <sheets>
    <sheet name="Practice" sheetId="2" r:id="rId1"/>
    <sheet name="Score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H48" i="2"/>
  <c r="F48" i="2"/>
  <c r="B16" i="2" l="1"/>
  <c r="B17" i="2" s="1"/>
  <c r="B18" i="2" s="1"/>
  <c r="B19" i="2" s="1"/>
  <c r="B20" i="2" l="1"/>
  <c r="P21" i="1"/>
  <c r="P22" i="1" s="1"/>
  <c r="P23" i="1" s="1"/>
  <c r="B50" i="1"/>
  <c r="B24" i="1"/>
  <c r="C29" i="1"/>
  <c r="A19" i="1"/>
  <c r="A20" i="1" s="1"/>
  <c r="A21" i="1" s="1"/>
  <c r="A22" i="1" s="1"/>
  <c r="A23" i="1" s="1"/>
  <c r="A18" i="1"/>
  <c r="B23" i="1"/>
  <c r="Q4" i="1"/>
  <c r="J4" i="1"/>
  <c r="B49" i="2"/>
  <c r="B50" i="2" s="1"/>
  <c r="B51" i="2" s="1"/>
  <c r="B52" i="2" s="1"/>
  <c r="B53" i="2" s="1"/>
  <c r="B54" i="2" s="1"/>
  <c r="D48" i="2"/>
  <c r="E15" i="2"/>
  <c r="H49" i="2" s="1"/>
  <c r="F14" i="2"/>
  <c r="G14" i="2" s="1"/>
  <c r="C15" i="2" l="1"/>
  <c r="D15" i="2" s="1"/>
  <c r="F49" i="2"/>
  <c r="D49" i="2"/>
  <c r="E16" i="2"/>
  <c r="B21" i="2"/>
  <c r="B22" i="2" s="1"/>
  <c r="B23" i="2" s="1"/>
  <c r="B24" i="2" s="1"/>
  <c r="B25" i="2" s="1"/>
  <c r="B26" i="2" s="1"/>
  <c r="B27" i="2" s="1"/>
  <c r="B28" i="2" s="1"/>
  <c r="B29" i="2" s="1"/>
  <c r="B30" i="2" s="1"/>
  <c r="F15" i="2"/>
  <c r="I15" i="2" s="1"/>
  <c r="H15" i="2"/>
  <c r="C36" i="1"/>
  <c r="C35" i="1"/>
  <c r="A24" i="1"/>
  <c r="C24" i="1" s="1"/>
  <c r="C23" i="1"/>
  <c r="F50" i="2" l="1"/>
  <c r="H50" i="2"/>
  <c r="H16" i="2"/>
  <c r="D50" i="2"/>
  <c r="C16" i="2"/>
  <c r="D16" i="2" s="1"/>
  <c r="G15" i="2"/>
  <c r="E17" i="2"/>
  <c r="F16" i="2"/>
  <c r="I16" i="2" s="1"/>
  <c r="C30" i="1"/>
  <c r="C31" i="1" s="1"/>
  <c r="P24" i="1"/>
  <c r="O43" i="1"/>
  <c r="O44" i="1"/>
  <c r="O45" i="1"/>
  <c r="O46" i="1"/>
  <c r="O47" i="1"/>
  <c r="O48" i="1"/>
  <c r="O49" i="1"/>
  <c r="O50" i="1"/>
  <c r="O51" i="1"/>
  <c r="O52" i="1"/>
  <c r="A43" i="1"/>
  <c r="A44" i="1"/>
  <c r="A45" i="1"/>
  <c r="A46" i="1"/>
  <c r="A47" i="1"/>
  <c r="A48" i="1"/>
  <c r="A49" i="1"/>
  <c r="A50" i="1"/>
  <c r="A51" i="1"/>
  <c r="A52" i="1"/>
  <c r="H43" i="1"/>
  <c r="H44" i="1"/>
  <c r="H45" i="1"/>
  <c r="H46" i="1"/>
  <c r="H47" i="1"/>
  <c r="H48" i="1"/>
  <c r="H49" i="1"/>
  <c r="H50" i="1"/>
  <c r="H51" i="1"/>
  <c r="H52" i="1"/>
  <c r="P49" i="1"/>
  <c r="P17" i="1"/>
  <c r="P43" i="1" s="1"/>
  <c r="S17" i="1"/>
  <c r="I17" i="1"/>
  <c r="B17" i="1"/>
  <c r="B43" i="1" s="1"/>
  <c r="I43" i="1"/>
  <c r="L17" i="1"/>
  <c r="L18" i="1" s="1"/>
  <c r="P42" i="1"/>
  <c r="I42" i="1"/>
  <c r="I18" i="1"/>
  <c r="J18" i="1" s="1"/>
  <c r="I44" i="1"/>
  <c r="B42" i="1"/>
  <c r="C17" i="1"/>
  <c r="F17" i="1" s="1"/>
  <c r="Q16" i="1"/>
  <c r="R16" i="1" s="1"/>
  <c r="O17" i="1"/>
  <c r="Q17" i="1"/>
  <c r="T17" i="1" s="1"/>
  <c r="H17" i="1"/>
  <c r="J17" i="1"/>
  <c r="J16" i="1"/>
  <c r="K16" i="1" s="1"/>
  <c r="O18" i="1"/>
  <c r="H18" i="1"/>
  <c r="O19" i="1"/>
  <c r="H19" i="1"/>
  <c r="O20" i="1"/>
  <c r="H20" i="1"/>
  <c r="O21" i="1"/>
  <c r="H21" i="1"/>
  <c r="O22" i="1"/>
  <c r="H22" i="1"/>
  <c r="O23" i="1"/>
  <c r="H23" i="1"/>
  <c r="O24" i="1"/>
  <c r="Q23" i="1"/>
  <c r="H24" i="1"/>
  <c r="O25" i="1"/>
  <c r="H25" i="1"/>
  <c r="C16" i="1"/>
  <c r="D16" i="1" s="1"/>
  <c r="F51" i="2" l="1"/>
  <c r="H51" i="2"/>
  <c r="H17" i="2"/>
  <c r="C17" i="2"/>
  <c r="D17" i="2" s="1"/>
  <c r="G16" i="2"/>
  <c r="E18" i="2"/>
  <c r="F17" i="2"/>
  <c r="I17" i="2" s="1"/>
  <c r="D51" i="2"/>
  <c r="P25" i="1"/>
  <c r="P50" i="1"/>
  <c r="Q24" i="1"/>
  <c r="I19" i="1"/>
  <c r="I45" i="1" s="1"/>
  <c r="B18" i="1"/>
  <c r="C18" i="1" s="1"/>
  <c r="F18" i="1" s="1"/>
  <c r="D17" i="1"/>
  <c r="E17" i="1"/>
  <c r="E18" i="1" s="1"/>
  <c r="K17" i="1"/>
  <c r="K18" i="1" s="1"/>
  <c r="M17" i="1"/>
  <c r="M18" i="1" s="1"/>
  <c r="P51" i="1"/>
  <c r="P18" i="1"/>
  <c r="S18" i="1" s="1"/>
  <c r="R17" i="1"/>
  <c r="I20" i="1"/>
  <c r="J19" i="1"/>
  <c r="D18" i="1"/>
  <c r="B19" i="1"/>
  <c r="B20" i="1" s="1"/>
  <c r="F52" i="2" l="1"/>
  <c r="H52" i="2"/>
  <c r="H18" i="2"/>
  <c r="C18" i="2"/>
  <c r="D18" i="2" s="1"/>
  <c r="E19" i="2"/>
  <c r="H53" i="2" s="1"/>
  <c r="D52" i="2"/>
  <c r="F18" i="2"/>
  <c r="I18" i="2" s="1"/>
  <c r="G17" i="2"/>
  <c r="Q29" i="1"/>
  <c r="P26" i="1"/>
  <c r="Q26" i="1" s="1"/>
  <c r="Q25" i="1"/>
  <c r="L19" i="1"/>
  <c r="L20" i="1" s="1"/>
  <c r="B44" i="1"/>
  <c r="B21" i="1"/>
  <c r="B46" i="1"/>
  <c r="C20" i="1"/>
  <c r="M19" i="1"/>
  <c r="E19" i="1"/>
  <c r="P44" i="1"/>
  <c r="Q18" i="1"/>
  <c r="T18" i="1" s="1"/>
  <c r="P19" i="1"/>
  <c r="I21" i="1"/>
  <c r="J20" i="1"/>
  <c r="I46" i="1"/>
  <c r="K19" i="1"/>
  <c r="B45" i="1"/>
  <c r="C19" i="1"/>
  <c r="F19" i="1" s="1"/>
  <c r="C32" i="1"/>
  <c r="C19" i="2" l="1"/>
  <c r="D19" i="2" s="1"/>
  <c r="F53" i="2"/>
  <c r="G18" i="2"/>
  <c r="E20" i="2"/>
  <c r="F19" i="2"/>
  <c r="I19" i="2" s="1"/>
  <c r="D53" i="2"/>
  <c r="H19" i="2"/>
  <c r="P27" i="1"/>
  <c r="R18" i="1"/>
  <c r="L21" i="1"/>
  <c r="E20" i="1"/>
  <c r="E21" i="1" s="1"/>
  <c r="C21" i="1"/>
  <c r="B22" i="1"/>
  <c r="B47" i="1"/>
  <c r="F20" i="1"/>
  <c r="M20" i="1"/>
  <c r="M21" i="1" s="1"/>
  <c r="K20" i="1"/>
  <c r="P20" i="1"/>
  <c r="Q19" i="1"/>
  <c r="R19" i="1" s="1"/>
  <c r="P45" i="1"/>
  <c r="S19" i="1"/>
  <c r="I22" i="1"/>
  <c r="J21" i="1"/>
  <c r="I47" i="1"/>
  <c r="D19" i="1"/>
  <c r="D20" i="1" s="1"/>
  <c r="C39" i="1"/>
  <c r="C34" i="1"/>
  <c r="C20" i="2" l="1"/>
  <c r="D20" i="2" s="1"/>
  <c r="G19" i="2"/>
  <c r="H20" i="2"/>
  <c r="E21" i="2"/>
  <c r="F20" i="2"/>
  <c r="I20" i="2" s="1"/>
  <c r="Q30" i="1"/>
  <c r="P52" i="1" s="1"/>
  <c r="L22" i="1"/>
  <c r="F21" i="1"/>
  <c r="D21" i="1"/>
  <c r="E22" i="1"/>
  <c r="E23" i="1" s="1"/>
  <c r="E24" i="1" s="1"/>
  <c r="C22" i="1"/>
  <c r="B48" i="1"/>
  <c r="T19" i="1"/>
  <c r="S20" i="1"/>
  <c r="Q20" i="1"/>
  <c r="P46" i="1"/>
  <c r="J22" i="1"/>
  <c r="I23" i="1"/>
  <c r="I48" i="1"/>
  <c r="K21" i="1"/>
  <c r="C21" i="2" l="1"/>
  <c r="H34" i="2" s="1"/>
  <c r="D34" i="2"/>
  <c r="D54" i="2" s="1"/>
  <c r="D40" i="2" s="1"/>
  <c r="G20" i="2"/>
  <c r="H33" i="2" s="1"/>
  <c r="H21" i="2"/>
  <c r="E22" i="2"/>
  <c r="C22" i="2" s="1"/>
  <c r="D22" i="2" s="1"/>
  <c r="F21" i="2"/>
  <c r="I21" i="2" s="1"/>
  <c r="Q31" i="1"/>
  <c r="L23" i="1"/>
  <c r="M22" i="1"/>
  <c r="M23" i="1" s="1"/>
  <c r="F22" i="1"/>
  <c r="F23" i="1" s="1"/>
  <c r="F24" i="1" s="1"/>
  <c r="D22" i="1"/>
  <c r="D23" i="1" s="1"/>
  <c r="D24" i="1" s="1"/>
  <c r="C37" i="1"/>
  <c r="B49" i="1"/>
  <c r="C38" i="1"/>
  <c r="T20" i="1"/>
  <c r="R20" i="1"/>
  <c r="Q21" i="1"/>
  <c r="P47" i="1"/>
  <c r="S21" i="1"/>
  <c r="K22" i="1"/>
  <c r="J23" i="1"/>
  <c r="I24" i="1"/>
  <c r="I49" i="1"/>
  <c r="D21" i="2" l="1"/>
  <c r="F34" i="2" s="1"/>
  <c r="F35" i="2" s="1"/>
  <c r="H35" i="2"/>
  <c r="H36" i="2" s="1"/>
  <c r="H39" i="2" s="1"/>
  <c r="H54" i="2"/>
  <c r="F33" i="2"/>
  <c r="D33" i="2"/>
  <c r="E23" i="2"/>
  <c r="C23" i="2" s="1"/>
  <c r="D23" i="2" s="1"/>
  <c r="F22" i="2"/>
  <c r="I22" i="2" s="1"/>
  <c r="D35" i="2"/>
  <c r="H22" i="2"/>
  <c r="L24" i="1"/>
  <c r="L25" i="1" s="1"/>
  <c r="J37" i="1"/>
  <c r="R21" i="1"/>
  <c r="T21" i="1"/>
  <c r="K23" i="1"/>
  <c r="S22" i="1"/>
  <c r="S23" i="1" s="1"/>
  <c r="S24" i="1" s="1"/>
  <c r="S25" i="1" s="1"/>
  <c r="S26" i="1" s="1"/>
  <c r="Q22" i="1"/>
  <c r="R22" i="1" s="1"/>
  <c r="R23" i="1" s="1"/>
  <c r="R24" i="1" s="1"/>
  <c r="R25" i="1" s="1"/>
  <c r="R26" i="1" s="1"/>
  <c r="P48" i="1"/>
  <c r="Q35" i="1" s="1"/>
  <c r="Q32" i="1"/>
  <c r="I25" i="1"/>
  <c r="J24" i="1"/>
  <c r="M24" i="1" s="1"/>
  <c r="I50" i="1"/>
  <c r="F54" i="2" l="1"/>
  <c r="F40" i="2" s="1"/>
  <c r="F36" i="2"/>
  <c r="F39" i="2" s="1"/>
  <c r="H40" i="2"/>
  <c r="H42" i="2"/>
  <c r="H41" i="2"/>
  <c r="H23" i="2"/>
  <c r="H45" i="2"/>
  <c r="D36" i="2"/>
  <c r="D39" i="2" s="1"/>
  <c r="D42" i="2"/>
  <c r="D41" i="2"/>
  <c r="E24" i="2"/>
  <c r="C24" i="2" s="1"/>
  <c r="D24" i="2" s="1"/>
  <c r="F23" i="2"/>
  <c r="I23" i="2" s="1"/>
  <c r="K24" i="1"/>
  <c r="T22" i="1"/>
  <c r="Q39" i="1"/>
  <c r="Q34" i="1"/>
  <c r="Q36" i="1"/>
  <c r="Q37" i="1"/>
  <c r="J25" i="1"/>
  <c r="M25" i="1" s="1"/>
  <c r="I26" i="1"/>
  <c r="L26" i="1" s="1"/>
  <c r="I51" i="1"/>
  <c r="H43" i="2" l="1"/>
  <c r="F42" i="2"/>
  <c r="F45" i="2"/>
  <c r="F41" i="2"/>
  <c r="D45" i="2"/>
  <c r="E25" i="2"/>
  <c r="C25" i="2" s="1"/>
  <c r="D25" i="2" s="1"/>
  <c r="F24" i="2"/>
  <c r="I24" i="2" s="1"/>
  <c r="H24" i="2"/>
  <c r="D43" i="2" s="1"/>
  <c r="K25" i="1"/>
  <c r="T23" i="1"/>
  <c r="T24" i="1" s="1"/>
  <c r="T25" i="1" s="1"/>
  <c r="T26" i="1" s="1"/>
  <c r="J26" i="1"/>
  <c r="M26" i="1" s="1"/>
  <c r="J38" i="1" s="1"/>
  <c r="I27" i="1"/>
  <c r="J30" i="1" s="1"/>
  <c r="J29" i="1"/>
  <c r="F43" i="2" l="1"/>
  <c r="H25" i="2"/>
  <c r="F25" i="2"/>
  <c r="I25" i="2" s="1"/>
  <c r="E26" i="2"/>
  <c r="C26" i="2" s="1"/>
  <c r="D26" i="2" s="1"/>
  <c r="K26" i="1"/>
  <c r="Q38" i="1"/>
  <c r="I52" i="1"/>
  <c r="J31" i="1"/>
  <c r="J32" i="1" s="1"/>
  <c r="J13" i="1"/>
  <c r="H26" i="2" l="1"/>
  <c r="F26" i="2"/>
  <c r="I26" i="2" s="1"/>
  <c r="E27" i="2"/>
  <c r="C27" i="2" s="1"/>
  <c r="D27" i="2" s="1"/>
  <c r="J39" i="1"/>
  <c r="J34" i="1"/>
  <c r="J36" i="1"/>
  <c r="J35" i="1"/>
  <c r="F27" i="2" l="1"/>
  <c r="I27" i="2" s="1"/>
  <c r="E28" i="2"/>
  <c r="C28" i="2" s="1"/>
  <c r="D28" i="2" s="1"/>
  <c r="H27" i="2"/>
  <c r="H28" i="2" l="1"/>
  <c r="F28" i="2"/>
  <c r="I28" i="2" s="1"/>
  <c r="E29" i="2"/>
  <c r="F29" i="2" l="1"/>
  <c r="I29" i="2" s="1"/>
  <c r="C29" i="2"/>
  <c r="D29" i="2" s="1"/>
  <c r="E30" i="2"/>
  <c r="H29" i="2"/>
  <c r="H30" i="2" l="1"/>
  <c r="C30" i="2"/>
  <c r="D30" i="2" s="1"/>
  <c r="F30" i="2"/>
  <c r="I30" i="2" s="1"/>
  <c r="F44" i="2" s="1"/>
  <c r="H44" i="2" l="1"/>
  <c r="D44" i="2"/>
</calcChain>
</file>

<file path=xl/sharedStrings.xml><?xml version="1.0" encoding="utf-8"?>
<sst xmlns="http://schemas.openxmlformats.org/spreadsheetml/2006/main" count="108" uniqueCount="54">
  <si>
    <t>MBA 640 Homework #3</t>
  </si>
  <si>
    <r>
      <t>CF</t>
    </r>
    <r>
      <rPr>
        <b/>
        <vertAlign val="subscript"/>
        <sz val="11"/>
        <color theme="1"/>
        <rFont val="Calibri"/>
        <family val="2"/>
        <scheme val="minor"/>
      </rPr>
      <t>1(EXPLICIT)</t>
    </r>
  </si>
  <si>
    <r>
      <t>CF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</si>
  <si>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CF</t>
    </r>
    <r>
      <rPr>
        <b/>
        <vertAlign val="subscript"/>
        <sz val="11"/>
        <color theme="1"/>
        <rFont val="Calibri"/>
        <family val="2"/>
        <scheme val="minor"/>
      </rPr>
      <t>1 (EXPLICIT)</t>
    </r>
  </si>
  <si>
    <r>
      <t>EV/FCF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</si>
  <si>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1-4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</si>
  <si>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1-10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</si>
  <si>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9+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</si>
  <si>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11+</t>
    </r>
  </si>
  <si>
    <t>Proposed Cost</t>
  </si>
  <si>
    <t>Salvage Value (SV)</t>
  </si>
  <si>
    <t>Expected Proceeds from Sale of Asset</t>
  </si>
  <si>
    <r>
      <t>Target Multiple: EV/FCF</t>
    </r>
    <r>
      <rPr>
        <b/>
        <vertAlign val="subscript"/>
        <sz val="11"/>
        <color theme="1"/>
        <rFont val="Calibri"/>
        <family val="2"/>
        <scheme val="minor"/>
      </rPr>
      <t>10</t>
    </r>
  </si>
  <si>
    <t>Cash Flow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</si>
  <si>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CF</t>
    </r>
  </si>
  <si>
    <r>
      <t>∑PV</t>
    </r>
    <r>
      <rPr>
        <b/>
        <vertAlign val="subscript"/>
        <sz val="11"/>
        <color theme="1"/>
        <rFont val="Calibri"/>
        <family val="2"/>
      </rPr>
      <t>CF</t>
    </r>
  </si>
  <si>
    <t xml:space="preserve">Payback </t>
  </si>
  <si>
    <t>Discounted Payback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</si>
  <si>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</si>
  <si>
    <t>SV</t>
  </si>
  <si>
    <r>
      <t>CV</t>
    </r>
    <r>
      <rPr>
        <b/>
        <vertAlign val="subscript"/>
        <sz val="11"/>
        <color theme="1"/>
        <rFont val="Calibri"/>
        <family val="2"/>
        <scheme val="minor"/>
      </rPr>
      <t>DG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</si>
  <si>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FMM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</si>
  <si>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</si>
  <si>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  <r>
      <rPr>
        <b/>
        <sz val="11"/>
        <color theme="1"/>
        <rFont val="Calibri"/>
        <family val="2"/>
        <scheme val="minor"/>
      </rPr>
      <t xml:space="preserve"> + PV</t>
    </r>
    <r>
      <rPr>
        <b/>
        <vertAlign val="subscript"/>
        <sz val="11"/>
        <color theme="1"/>
        <rFont val="Calibri"/>
        <family val="2"/>
        <scheme val="minor"/>
      </rPr>
      <t>CV</t>
    </r>
    <r>
      <rPr>
        <b/>
        <sz val="11"/>
        <color theme="1"/>
        <rFont val="Calibri"/>
        <family val="2"/>
        <scheme val="minor"/>
      </rPr>
      <t xml:space="preserve"> </t>
    </r>
  </si>
  <si>
    <t>NPV</t>
  </si>
  <si>
    <t>IRR</t>
  </si>
  <si>
    <t>MIRR</t>
  </si>
  <si>
    <t>Payback</t>
  </si>
  <si>
    <t>Profit Index</t>
  </si>
  <si>
    <t>Cash flows for NPV, IRR &amp; MIRR</t>
  </si>
  <si>
    <t>Production</t>
  </si>
  <si>
    <t>Service</t>
  </si>
  <si>
    <t>Distribution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</si>
  <si>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1-5</t>
    </r>
  </si>
  <si>
    <t>Hurdle Rate</t>
  </si>
  <si>
    <r>
      <t>CF</t>
    </r>
    <r>
      <rPr>
        <b/>
        <vertAlign val="subscript"/>
        <sz val="11"/>
        <color theme="1"/>
        <rFont val="Calibri"/>
        <family val="2"/>
        <scheme val="minor"/>
      </rPr>
      <t xml:space="preserve"> 6 (EXPLICIT)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</si>
  <si>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610</t>
    </r>
  </si>
  <si>
    <t>FCF - KVD - FMM Model Comparison</t>
  </si>
  <si>
    <t>FCF</t>
  </si>
  <si>
    <t>KVD</t>
  </si>
  <si>
    <t>FMM</t>
  </si>
  <si>
    <r>
      <t>FCF</t>
    </r>
    <r>
      <rPr>
        <b/>
        <vertAlign val="subscript"/>
        <sz val="11"/>
        <color theme="1"/>
        <rFont val="Calibri"/>
        <family val="2"/>
        <scheme val="minor"/>
      </rPr>
      <t>1(EXPLICIT)</t>
    </r>
  </si>
  <si>
    <t>Discount Rate</t>
  </si>
  <si>
    <t>Proposed Investment</t>
  </si>
  <si>
    <t>NOPLAT</t>
  </si>
  <si>
    <t>EBIT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</si>
  <si>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EBIT</t>
    </r>
  </si>
  <si>
    <t>CV</t>
  </si>
  <si>
    <r>
      <t>NPV</t>
    </r>
    <r>
      <rPr>
        <b/>
        <vertAlign val="subscript"/>
        <sz val="11"/>
        <color theme="1"/>
        <rFont val="Calibri"/>
        <family val="2"/>
        <scheme val="minor"/>
      </rPr>
      <t>SIMPLE</t>
    </r>
  </si>
  <si>
    <r>
      <t>NPV</t>
    </r>
    <r>
      <rPr>
        <b/>
        <vertAlign val="subscript"/>
        <sz val="11"/>
        <color theme="1"/>
        <rFont val="Calibri"/>
        <family val="2"/>
        <scheme val="minor"/>
      </rPr>
      <t>FUNCTION</t>
    </r>
  </si>
  <si>
    <r>
      <t>ROIC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</si>
  <si>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ROIC established using Goal Seek; Setting CV</t>
    </r>
    <r>
      <rPr>
        <vertAlign val="subscript"/>
        <sz val="11"/>
        <color theme="1"/>
        <rFont val="Calibri"/>
        <family val="2"/>
        <scheme val="minor"/>
      </rPr>
      <t>KVD</t>
    </r>
    <r>
      <rPr>
        <sz val="11"/>
        <color theme="1"/>
        <rFont val="Calibri"/>
        <family val="2"/>
        <scheme val="minor"/>
      </rPr>
      <t xml:space="preserve"> = CV</t>
    </r>
    <r>
      <rPr>
        <vertAlign val="subscript"/>
        <sz val="11"/>
        <color theme="1"/>
        <rFont val="Calibri"/>
        <family val="2"/>
        <scheme val="minor"/>
      </rPr>
      <t>FCF</t>
    </r>
    <r>
      <rPr>
        <sz val="11"/>
        <color theme="1"/>
        <rFont val="Calibri"/>
        <family val="2"/>
        <scheme val="minor"/>
      </rPr>
      <t xml:space="preserve"> value by changing ROIC </t>
    </r>
  </si>
  <si>
    <r>
      <t>Target EV/EBIT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</si>
  <si>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Target EV/EBIT established using Goal Seek; Setting CV</t>
    </r>
    <r>
      <rPr>
        <vertAlign val="subscript"/>
        <sz val="11"/>
        <color theme="1"/>
        <rFont val="Calibri"/>
        <family val="2"/>
        <scheme val="minor"/>
      </rPr>
      <t>FMM</t>
    </r>
    <r>
      <rPr>
        <sz val="11"/>
        <color theme="1"/>
        <rFont val="Calibri"/>
        <family val="2"/>
        <scheme val="minor"/>
      </rPr>
      <t xml:space="preserve"> = CV</t>
    </r>
    <r>
      <rPr>
        <vertAlign val="subscript"/>
        <sz val="11"/>
        <color theme="1"/>
        <rFont val="Calibri"/>
        <family val="2"/>
        <scheme val="minor"/>
      </rPr>
      <t>FCF</t>
    </r>
    <r>
      <rPr>
        <sz val="11"/>
        <color theme="1"/>
        <rFont val="Calibri"/>
        <family val="2"/>
        <scheme val="minor"/>
      </rPr>
      <t xml:space="preserve"> value by changing Target EV/EBIT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</si>
</sst>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_);[Red]\(&quot;$&quot;#,##0.0\)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rgb="FF0000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43" fontId="0" fillId="0" borderId="0" xfId="1" applyFont="1"/>
    <xf numFmtId="0" fontId="2" fillId="0" borderId="0" xfId="0" applyFont="1"/>
    <xf numFmtId="8" fontId="0" fillId="0" borderId="0" xfId="0" applyNumberFormat="1"/>
    <xf numFmtId="164" fontId="0" fillId="0" borderId="0" xfId="0" applyNumberFormat="1"/>
    <xf numFmtId="43" fontId="4" fillId="0" borderId="0" xfId="1" applyFont="1"/>
    <xf numFmtId="0" fontId="5" fillId="0" borderId="0" xfId="0" applyFont="1" applyAlignment="1">
      <alignment horizontal="center"/>
    </xf>
    <xf numFmtId="8" fontId="4" fillId="0" borderId="0" xfId="1" applyNumberFormat="1" applyFont="1"/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0" fontId="0" fillId="0" borderId="0" xfId="0" applyNumberForma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10" fontId="0" fillId="0" borderId="0" xfId="2" applyNumberFormat="1" applyFont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0" xfId="0" applyNumberFormat="1" applyFont="1" applyAlignment="1">
      <alignment horizontal="right"/>
    </xf>
    <xf numFmtId="43" fontId="0" fillId="0" borderId="0" xfId="0" applyNumberFormat="1"/>
    <xf numFmtId="0" fontId="6" fillId="0" borderId="0" xfId="0" applyFont="1" applyAlignment="1">
      <alignment horizontal="center"/>
    </xf>
    <xf numFmtId="10" fontId="0" fillId="0" borderId="0" xfId="2" applyNumberFormat="1" applyFont="1"/>
    <xf numFmtId="10" fontId="8" fillId="0" borderId="0" xfId="0" applyNumberFormat="1" applyFont="1"/>
    <xf numFmtId="43" fontId="0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2" fontId="0" fillId="0" borderId="0" xfId="0" applyNumberFormat="1"/>
    <xf numFmtId="0" fontId="2" fillId="0" borderId="0" xfId="0" applyFont="1" applyAlignment="1">
      <alignment horizontal="right" wrapText="1"/>
    </xf>
    <xf numFmtId="165" fontId="0" fillId="0" borderId="0" xfId="1" applyNumberFormat="1" applyFont="1"/>
    <xf numFmtId="165" fontId="4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9" fillId="0" borderId="0" xfId="0" applyFont="1"/>
    <xf numFmtId="165" fontId="10" fillId="0" borderId="0" xfId="1" applyNumberFormat="1" applyFont="1"/>
    <xf numFmtId="43" fontId="10" fillId="0" borderId="0" xfId="1" applyFont="1"/>
    <xf numFmtId="0" fontId="2" fillId="0" borderId="0" xfId="0" applyFont="1" applyAlignment="1"/>
    <xf numFmtId="10" fontId="0" fillId="0" borderId="0" xfId="0" applyNumberFormat="1" applyAlignment="1">
      <alignment horizontal="right"/>
    </xf>
    <xf numFmtId="0" fontId="11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65" fontId="2" fillId="0" borderId="0" xfId="1" applyNumberFormat="1" applyFont="1" applyAlignment="1">
      <alignment horizontal="center"/>
    </xf>
    <xf numFmtId="43" fontId="0" fillId="0" borderId="0" xfId="1" applyNumberFormat="1" applyFont="1" applyAlignment="1">
      <alignment horizontal="right"/>
    </xf>
    <xf numFmtId="8" fontId="0" fillId="0" borderId="0" xfId="1" applyNumberFormat="1" applyFont="1"/>
    <xf numFmtId="43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0" fillId="2" borderId="0" xfId="0" applyFill="1"/>
    <xf numFmtId="2" fontId="0" fillId="2" borderId="0" xfId="0" applyNumberFormat="1" applyFill="1"/>
    <xf numFmtId="0" fontId="1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333375</xdr:colOff>
      <xdr:row>7</xdr:row>
      <xdr:rowOff>185737</xdr:rowOff>
    </xdr:from>
    <xdr:ext cx="2019300" cy="33813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/>
            <xdr:cNvSpPr txBox="1"/>
          </xdr:nvSpPr>
          <xdr:spPr>
            <a:xfrm>
              <a:off x="4810125" y="1633537"/>
              <a:ext cx="2019300" cy="33813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9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𝑬𝑽</m:t>
                        </m:r>
                      </m:num>
                      <m:den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𝑬𝑩𝑰𝑻</m:t>
                        </m:r>
                      </m:den>
                    </m:f>
                    <m:r>
                      <a:rPr lang="en-US" sz="9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9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𝑹𝑶𝑰𝑪</m:t>
                        </m:r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𝒈</m:t>
                        </m:r>
                      </m:num>
                      <m:den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𝑹𝑶𝑰𝑪</m:t>
                        </m:r>
                        <m:d>
                          <m:dPr>
                            <m:ctrlPr>
                              <a:rPr lang="en-US" sz="9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900" b="1" i="1">
                                <a:latin typeface="Cambria Math" panose="02040503050406030204" pitchFamily="18" charset="0"/>
                              </a:rPr>
                              <m:t>𝑾𝑨𝑪𝑪</m:t>
                            </m:r>
                            <m:r>
                              <a:rPr lang="en-US" sz="900" b="1" i="1">
                                <a:latin typeface="Cambria Math" panose="02040503050406030204" pitchFamily="18" charset="0"/>
                              </a:rPr>
                              <m:t> −</m:t>
                            </m:r>
                            <m:r>
                              <a:rPr lang="en-US" sz="900" b="1" i="1">
                                <a:latin typeface="Cambria Math" panose="02040503050406030204" pitchFamily="18" charset="0"/>
                              </a:rPr>
                              <m:t>𝒈</m:t>
                            </m:r>
                          </m:e>
                        </m:d>
                      </m:den>
                    </m:f>
                    <m:r>
                      <a:rPr lang="en-US" sz="9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900" b="1" i="1">
                        <a:latin typeface="Cambria Math" panose="02040503050406030204" pitchFamily="18" charset="0"/>
                      </a:rPr>
                      <m:t>𝒙</m:t>
                    </m:r>
                    <m:r>
                      <a:rPr lang="en-US" sz="900" b="1" i="1">
                        <a:latin typeface="Cambria Math" panose="02040503050406030204" pitchFamily="18" charset="0"/>
                      </a:rPr>
                      <m:t> </m:t>
                    </m:r>
                    <m:d>
                      <m:dPr>
                        <m:ctrlPr>
                          <a:rPr lang="en-US" sz="9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900" b="1" i="1">
                            <a:latin typeface="Cambria Math" panose="02040503050406030204" pitchFamily="18" charset="0"/>
                          </a:rPr>
                          <m:t>𝑻</m:t>
                        </m:r>
                      </m:e>
                    </m:d>
                    <m:r>
                      <a:rPr lang="en-US" sz="9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900" b="1"/>
            </a:p>
            <a:p>
              <a:endParaRPr lang="en-US" sz="900" b="1"/>
            </a:p>
          </xdr:txBody>
        </xdr:sp>
      </mc:Choice>
      <mc:Fallback>
        <xdr:sp macro="" textlink="">
          <xdr:nvSpPr>
            <xdr:cNvPr id="2" name="TextBox 1"/>
            <xdr:cNvSpPr txBox="1"/>
          </xdr:nvSpPr>
          <xdr:spPr>
            <a:xfrm>
              <a:off x="4810125" y="1633537"/>
              <a:ext cx="2019300" cy="338138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US" sz="900" b="1" i="0">
                  <a:latin typeface="Cambria Math" panose="02040503050406030204" pitchFamily="18" charset="0"/>
                </a:rPr>
                <a:t>𝑬𝑽/𝑬𝑩𝑰𝑻=(𝑹𝑶𝑰𝑪 −𝒈)/𝑹𝑶𝑰𝑪(𝑾𝑨𝑪𝑪 −𝒈)   𝒙 (𝟏−𝑻)=</a:t>
              </a:r>
              <a:endParaRPr lang="en-US" sz="900" b="1"/>
            </a:p>
            <a:p>
              <a:endParaRPr lang="en-US" sz="900" b="1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workbookViewId="0">
      <selection activeCell="N32" sqref="N32"/>
    </sheetView>
  </sheetViews>
  <sheetFormatPr defaultRowHeight="15" x14ac:dyDescent="0.25"/>
  <cols>
    <col min="2" max="2" width="3.7109375" customWidth="1"/>
    <col min="3" max="3" width="12.7109375" customWidth="1"/>
    <col min="4" max="4" width="14.42578125" bestFit="1" customWidth="1"/>
    <col min="5" max="5" width="12.7109375" customWidth="1"/>
    <col min="6" max="6" width="14.42578125" bestFit="1" customWidth="1"/>
    <col min="7" max="7" width="13.28515625" bestFit="1" customWidth="1"/>
    <col min="8" max="8" width="14.7109375" bestFit="1" customWidth="1"/>
    <col min="9" max="9" width="12.7109375" customWidth="1"/>
    <col min="10" max="10" width="3.7109375" customWidth="1"/>
    <col min="11" max="11" width="12.7109375" customWidth="1"/>
    <col min="12" max="12" width="14" bestFit="1" customWidth="1"/>
    <col min="13" max="13" width="13.28515625" bestFit="1" customWidth="1"/>
    <col min="14" max="15" width="12.7109375" customWidth="1"/>
  </cols>
  <sheetData>
    <row r="1" spans="2:15" x14ac:dyDescent="0.25">
      <c r="B1" s="48" t="s">
        <v>37</v>
      </c>
      <c r="C1" s="48"/>
      <c r="D1" s="48"/>
      <c r="E1" s="48"/>
      <c r="F1" s="48"/>
      <c r="G1" s="48"/>
      <c r="H1" s="48"/>
      <c r="I1" s="48"/>
      <c r="J1" s="40"/>
    </row>
    <row r="3" spans="2:15" x14ac:dyDescent="0.25">
      <c r="D3" s="31" t="s">
        <v>42</v>
      </c>
      <c r="E3" s="16">
        <v>0.15</v>
      </c>
      <c r="K3" s="33"/>
      <c r="L3" s="16"/>
    </row>
    <row r="4" spans="2:15" ht="18" x14ac:dyDescent="0.35">
      <c r="D4" s="31" t="s">
        <v>41</v>
      </c>
      <c r="E4" s="13">
        <v>200000</v>
      </c>
      <c r="K4" s="33"/>
      <c r="L4" s="13"/>
    </row>
    <row r="5" spans="2:15" ht="18" x14ac:dyDescent="0.35">
      <c r="D5" s="31" t="s">
        <v>5</v>
      </c>
      <c r="E5" s="16">
        <v>0.18</v>
      </c>
      <c r="K5" s="33"/>
      <c r="L5" s="16"/>
    </row>
    <row r="6" spans="2:15" ht="18" x14ac:dyDescent="0.35">
      <c r="D6" s="31" t="s">
        <v>7</v>
      </c>
      <c r="E6" s="16">
        <v>0.05</v>
      </c>
      <c r="K6" s="33"/>
      <c r="L6" s="16"/>
    </row>
    <row r="7" spans="2:15" ht="17.25" x14ac:dyDescent="0.25">
      <c r="D7" s="33" t="s">
        <v>50</v>
      </c>
      <c r="E7" s="16">
        <v>0.16848341238208139</v>
      </c>
      <c r="K7" s="33"/>
      <c r="L7" s="41"/>
    </row>
    <row r="8" spans="2:15" ht="18" x14ac:dyDescent="0.35">
      <c r="D8" s="33" t="s">
        <v>46</v>
      </c>
      <c r="E8" s="16">
        <v>0.21</v>
      </c>
      <c r="G8" s="50"/>
      <c r="H8" s="50"/>
      <c r="I8" s="50"/>
      <c r="K8" s="33"/>
      <c r="L8" s="41"/>
    </row>
    <row r="9" spans="2:15" ht="17.25" x14ac:dyDescent="0.25">
      <c r="D9" s="11" t="s">
        <v>52</v>
      </c>
      <c r="E9" s="49">
        <v>5.5555555563881462</v>
      </c>
      <c r="G9" s="50"/>
      <c r="H9" s="50"/>
      <c r="I9" s="51">
        <f>((E7-E6)/(E7*(E3-E6)))*(1-E8)</f>
        <v>5.5555555563877634</v>
      </c>
      <c r="K9" s="33"/>
      <c r="L9" s="14"/>
    </row>
    <row r="10" spans="2:15" x14ac:dyDescent="0.25">
      <c r="D10" s="11"/>
      <c r="E10" s="14"/>
      <c r="G10" s="50"/>
      <c r="H10" s="50"/>
      <c r="I10" s="50"/>
      <c r="K10" s="33"/>
      <c r="L10" s="14"/>
    </row>
    <row r="11" spans="2:15" ht="30" x14ac:dyDescent="0.25">
      <c r="D11" s="32" t="s">
        <v>43</v>
      </c>
      <c r="E11" s="17">
        <v>2300000</v>
      </c>
      <c r="K11" s="34"/>
      <c r="L11" s="17"/>
    </row>
    <row r="12" spans="2:15" x14ac:dyDescent="0.25">
      <c r="E12" s="9"/>
      <c r="F12" s="8"/>
      <c r="K12" s="9"/>
      <c r="L12" s="8"/>
    </row>
    <row r="13" spans="2:15" ht="31.5" x14ac:dyDescent="0.35">
      <c r="C13" s="11" t="s">
        <v>45</v>
      </c>
      <c r="D13" s="11" t="s">
        <v>44</v>
      </c>
      <c r="E13" s="11" t="s">
        <v>38</v>
      </c>
      <c r="F13" s="11" t="s">
        <v>14</v>
      </c>
      <c r="G13" s="25" t="s">
        <v>15</v>
      </c>
      <c r="H13" s="26" t="s">
        <v>16</v>
      </c>
      <c r="I13" s="26" t="s">
        <v>17</v>
      </c>
      <c r="J13" s="14"/>
      <c r="K13" s="11"/>
      <c r="L13" s="11"/>
      <c r="M13" s="25"/>
      <c r="N13" s="26"/>
      <c r="O13" s="26"/>
    </row>
    <row r="14" spans="2:15" x14ac:dyDescent="0.25">
      <c r="B14" s="2">
        <v>0</v>
      </c>
      <c r="C14" s="2"/>
      <c r="D14" s="2"/>
      <c r="E14" s="5"/>
      <c r="F14" s="5">
        <f>E14/((1+E$3)^B14)</f>
        <v>0</v>
      </c>
      <c r="G14" s="5">
        <f>F14</f>
        <v>0</v>
      </c>
      <c r="H14" s="5"/>
      <c r="I14" s="5"/>
      <c r="K14" s="5"/>
      <c r="L14" s="5"/>
      <c r="M14" s="5"/>
      <c r="N14" s="5"/>
      <c r="O14" s="5"/>
    </row>
    <row r="15" spans="2:15" x14ac:dyDescent="0.25">
      <c r="B15" s="2">
        <v>1</v>
      </c>
      <c r="C15" s="29">
        <f>E15*1.8</f>
        <v>360000</v>
      </c>
      <c r="D15" s="29">
        <f>C15*(1-$E$8)</f>
        <v>284400</v>
      </c>
      <c r="E15" s="29">
        <f>E4</f>
        <v>200000</v>
      </c>
      <c r="F15" s="1">
        <f>E15/((1+E$3)^B15)</f>
        <v>173913.04347826089</v>
      </c>
      <c r="G15" s="1">
        <f>G14+F15</f>
        <v>173913.04347826089</v>
      </c>
      <c r="H15" s="29">
        <f>-E11+E15</f>
        <v>-2100000</v>
      </c>
      <c r="I15" s="29">
        <f>-E11+F15</f>
        <v>-2126086.9565217393</v>
      </c>
      <c r="K15" s="29"/>
      <c r="L15" s="1"/>
      <c r="M15" s="1"/>
      <c r="N15" s="29"/>
      <c r="O15" s="29"/>
    </row>
    <row r="16" spans="2:15" x14ac:dyDescent="0.25">
      <c r="B16" s="2">
        <f>B15+1</f>
        <v>2</v>
      </c>
      <c r="C16" s="29">
        <f t="shared" ref="C16:C30" si="0">E16*1.8</f>
        <v>424800</v>
      </c>
      <c r="D16" s="29">
        <f>C16*(1-$E$8)</f>
        <v>335592</v>
      </c>
      <c r="E16" s="29">
        <f>E15*(1+$E$5)</f>
        <v>236000</v>
      </c>
      <c r="F16" s="1">
        <f>E16/((1+E$3)^B16)</f>
        <v>178449.90548204162</v>
      </c>
      <c r="G16" s="1">
        <f t="shared" ref="G16:G18" si="1">G15+F16</f>
        <v>352362.94896030251</v>
      </c>
      <c r="H16" s="29">
        <f>H15+E16</f>
        <v>-1864000</v>
      </c>
      <c r="I16" s="29">
        <f>I15+F16</f>
        <v>-1947637.0510396976</v>
      </c>
      <c r="K16" s="29"/>
      <c r="L16" s="1"/>
      <c r="M16" s="1"/>
      <c r="N16" s="29"/>
      <c r="O16" s="29"/>
    </row>
    <row r="17" spans="1:15" x14ac:dyDescent="0.25">
      <c r="B17" s="2">
        <f t="shared" ref="B17:B27" si="2">B16+1</f>
        <v>3</v>
      </c>
      <c r="C17" s="29">
        <f t="shared" si="0"/>
        <v>501264</v>
      </c>
      <c r="D17" s="29">
        <f>C17*(1-$E$8)</f>
        <v>395998.56</v>
      </c>
      <c r="E17" s="29">
        <f>E16*(1+$E$5)</f>
        <v>278480</v>
      </c>
      <c r="F17" s="1">
        <f>E17/((1+E$3)^B17)</f>
        <v>183105.12040766011</v>
      </c>
      <c r="G17" s="1">
        <f t="shared" si="1"/>
        <v>535468.06936796266</v>
      </c>
      <c r="H17" s="29">
        <f t="shared" ref="H17:H20" si="3">H16+E17</f>
        <v>-1585520</v>
      </c>
      <c r="I17" s="29">
        <f>I16+F17</f>
        <v>-1764531.9306320376</v>
      </c>
      <c r="K17" s="29"/>
      <c r="L17" s="1"/>
      <c r="M17" s="1"/>
      <c r="N17" s="29"/>
      <c r="O17" s="29"/>
    </row>
    <row r="18" spans="1:15" x14ac:dyDescent="0.25">
      <c r="B18" s="2">
        <f t="shared" si="2"/>
        <v>4</v>
      </c>
      <c r="C18" s="29">
        <f t="shared" si="0"/>
        <v>591491.5199999999</v>
      </c>
      <c r="D18" s="29">
        <f>C18*(1-$E$8)</f>
        <v>467278.30079999997</v>
      </c>
      <c r="E18" s="29">
        <f>E17*(1+$E$5)</f>
        <v>328606.39999999997</v>
      </c>
      <c r="F18" s="1">
        <f>E18/((1+E$3)^B18)</f>
        <v>187881.77572264255</v>
      </c>
      <c r="G18" s="1">
        <f t="shared" si="1"/>
        <v>723349.8450906052</v>
      </c>
      <c r="H18" s="29">
        <f t="shared" si="3"/>
        <v>-1256913.6000000001</v>
      </c>
      <c r="I18" s="29">
        <f>I17+F18</f>
        <v>-1576650.1549093951</v>
      </c>
      <c r="K18" s="29"/>
      <c r="L18" s="1"/>
      <c r="M18" s="1"/>
      <c r="N18" s="29"/>
      <c r="O18" s="29"/>
    </row>
    <row r="19" spans="1:15" x14ac:dyDescent="0.25">
      <c r="B19" s="2">
        <f t="shared" si="2"/>
        <v>5</v>
      </c>
      <c r="C19" s="29">
        <f t="shared" si="0"/>
        <v>697959.99359999993</v>
      </c>
      <c r="D19" s="29">
        <f>C19*(1-$E$8)</f>
        <v>551388.39494399994</v>
      </c>
      <c r="E19" s="29">
        <f>E18*(1+$E$5)</f>
        <v>387755.55199999997</v>
      </c>
      <c r="F19" s="1">
        <f>E19/((1+E$3)^B19)</f>
        <v>192783.03943714628</v>
      </c>
      <c r="G19" s="1">
        <f t="shared" ref="G19:G20" si="4">G18+F19</f>
        <v>916132.88452775148</v>
      </c>
      <c r="H19" s="29">
        <f t="shared" si="3"/>
        <v>-869158.04800000018</v>
      </c>
      <c r="I19" s="29">
        <f t="shared" ref="I19:I20" si="5">I18+F19</f>
        <v>-1383867.1154722488</v>
      </c>
      <c r="K19" s="29"/>
      <c r="L19" s="1"/>
      <c r="M19" s="1"/>
      <c r="N19" s="29"/>
      <c r="O19" s="29"/>
    </row>
    <row r="20" spans="1:15" x14ac:dyDescent="0.25">
      <c r="A20">
        <v>0</v>
      </c>
      <c r="B20" s="2">
        <f t="shared" si="2"/>
        <v>6</v>
      </c>
      <c r="C20" s="29">
        <f t="shared" si="0"/>
        <v>823592.79244799993</v>
      </c>
      <c r="D20" s="29">
        <f>C20*(1-$E$8)</f>
        <v>650638.30603392003</v>
      </c>
      <c r="E20" s="29">
        <f>E19*(1+$E$5)</f>
        <v>457551.55135999992</v>
      </c>
      <c r="F20" s="1">
        <f>E20/((1+E$3)^B20)</f>
        <v>197812.16220507183</v>
      </c>
      <c r="G20" s="1">
        <f t="shared" si="4"/>
        <v>1113945.0467328234</v>
      </c>
      <c r="H20" s="29">
        <f t="shared" si="3"/>
        <v>-411606.49664000026</v>
      </c>
      <c r="I20" s="29">
        <f t="shared" si="5"/>
        <v>-1186054.9532671769</v>
      </c>
      <c r="K20" s="29"/>
      <c r="L20" s="1"/>
      <c r="M20" s="1"/>
      <c r="N20" s="29"/>
      <c r="O20" s="29"/>
    </row>
    <row r="21" spans="1:15" x14ac:dyDescent="0.25">
      <c r="A21">
        <v>1</v>
      </c>
      <c r="B21" s="2">
        <f t="shared" si="2"/>
        <v>7</v>
      </c>
      <c r="C21" s="29">
        <f t="shared" si="0"/>
        <v>864772.43207039987</v>
      </c>
      <c r="D21" s="29">
        <f>C21*(1-$E$8)</f>
        <v>683170.22133561596</v>
      </c>
      <c r="E21" s="29">
        <f>E20*(1+$E$6)</f>
        <v>480429.12892799993</v>
      </c>
      <c r="F21" s="39">
        <f>E21/((1+E$3)^B21)</f>
        <v>180611.10462202213</v>
      </c>
      <c r="G21" s="1"/>
      <c r="H21" s="29">
        <f t="shared" ref="H21:H27" si="6">H20+E21</f>
        <v>68822.632287999673</v>
      </c>
      <c r="I21" s="29">
        <f t="shared" ref="I21:I27" si="7">I20+F21</f>
        <v>-1005443.8486451547</v>
      </c>
      <c r="K21" s="29"/>
      <c r="L21" s="39"/>
      <c r="M21" s="1"/>
      <c r="N21" s="29"/>
      <c r="O21" s="29"/>
    </row>
    <row r="22" spans="1:15" x14ac:dyDescent="0.25">
      <c r="B22" s="37">
        <f t="shared" si="2"/>
        <v>8</v>
      </c>
      <c r="C22" s="38">
        <f t="shared" si="0"/>
        <v>908011.05367391999</v>
      </c>
      <c r="D22" s="38">
        <f>C22*(1-$E$8)</f>
        <v>717328.73240239685</v>
      </c>
      <c r="E22" s="38">
        <f>E21*(1+$E$6)</f>
        <v>504450.58537439996</v>
      </c>
      <c r="F22" s="39">
        <f>E22/((1+E$3)^B22)</f>
        <v>164905.79117662893</v>
      </c>
      <c r="G22" s="1"/>
      <c r="H22" s="29">
        <f t="shared" si="6"/>
        <v>573273.21766239963</v>
      </c>
      <c r="I22" s="29">
        <f t="shared" si="7"/>
        <v>-840538.05746852583</v>
      </c>
      <c r="K22" s="38"/>
      <c r="L22" s="39"/>
      <c r="M22" s="1"/>
      <c r="N22" s="29"/>
      <c r="O22" s="29"/>
    </row>
    <row r="23" spans="1:15" x14ac:dyDescent="0.25">
      <c r="B23" s="37">
        <f t="shared" si="2"/>
        <v>9</v>
      </c>
      <c r="C23" s="38">
        <f t="shared" si="0"/>
        <v>953411.60635761602</v>
      </c>
      <c r="D23" s="38">
        <f>C23*(1-$E$8)</f>
        <v>753195.1690225167</v>
      </c>
      <c r="E23" s="38">
        <f>E22*(1+$E$6)</f>
        <v>529673.11464311997</v>
      </c>
      <c r="F23" s="39">
        <f>E23/((1+E$3)^B23)</f>
        <v>150566.15716126992</v>
      </c>
      <c r="G23" s="1"/>
      <c r="H23" s="29">
        <f t="shared" si="6"/>
        <v>1102946.3323055196</v>
      </c>
      <c r="I23" s="29">
        <f t="shared" si="7"/>
        <v>-689971.90030725591</v>
      </c>
      <c r="K23" s="38"/>
      <c r="L23" s="39"/>
      <c r="M23" s="1"/>
      <c r="N23" s="29"/>
      <c r="O23" s="29"/>
    </row>
    <row r="24" spans="1:15" x14ac:dyDescent="0.25">
      <c r="B24" s="37">
        <f t="shared" si="2"/>
        <v>10</v>
      </c>
      <c r="C24" s="38">
        <f t="shared" si="0"/>
        <v>1001082.1866754967</v>
      </c>
      <c r="D24" s="38">
        <f>C24*(1-$E$8)</f>
        <v>790854.92747364251</v>
      </c>
      <c r="E24" s="38">
        <f>E23*(1+$E$6)</f>
        <v>556156.77037527598</v>
      </c>
      <c r="F24" s="39">
        <f>E24/((1+E$3)^B24)</f>
        <v>137473.44784289863</v>
      </c>
      <c r="G24" s="1"/>
      <c r="H24" s="29">
        <f t="shared" si="6"/>
        <v>1659103.1026807956</v>
      </c>
      <c r="I24" s="29">
        <f t="shared" si="7"/>
        <v>-552498.45246435725</v>
      </c>
      <c r="K24" s="38"/>
      <c r="L24" s="39"/>
      <c r="M24" s="1"/>
      <c r="N24" s="29"/>
      <c r="O24" s="29"/>
    </row>
    <row r="25" spans="1:15" x14ac:dyDescent="0.25">
      <c r="B25" s="37">
        <f t="shared" si="2"/>
        <v>11</v>
      </c>
      <c r="C25" s="38">
        <f t="shared" si="0"/>
        <v>1051136.2960092716</v>
      </c>
      <c r="D25" s="38">
        <f>C25*(1-$E$8)</f>
        <v>830397.67384732468</v>
      </c>
      <c r="E25" s="38">
        <f>E24*(1+$E$6)</f>
        <v>583964.60889403976</v>
      </c>
      <c r="F25" s="39">
        <f>E25/((1+E$3)^B25)</f>
        <v>125519.2349869944</v>
      </c>
      <c r="G25" s="1"/>
      <c r="H25" s="29">
        <f t="shared" si="6"/>
        <v>2243067.7115748352</v>
      </c>
      <c r="I25" s="29">
        <f t="shared" si="7"/>
        <v>-426979.21747736284</v>
      </c>
      <c r="K25" s="38"/>
      <c r="L25" s="39"/>
      <c r="M25" s="1"/>
      <c r="N25" s="29"/>
      <c r="O25" s="29"/>
    </row>
    <row r="26" spans="1:15" x14ac:dyDescent="0.25">
      <c r="B26" s="37">
        <f t="shared" si="2"/>
        <v>12</v>
      </c>
      <c r="C26" s="38">
        <f t="shared" si="0"/>
        <v>1103693.1108097353</v>
      </c>
      <c r="D26" s="38">
        <f>C26*(1-$E$8)</f>
        <v>871917.55753969087</v>
      </c>
      <c r="E26" s="38">
        <f>E25*(1+$E$6)</f>
        <v>613162.83933874173</v>
      </c>
      <c r="F26" s="39">
        <f>E26/((1+E$3)^B26)</f>
        <v>114604.51890116882</v>
      </c>
      <c r="G26" s="1"/>
      <c r="H26" s="29">
        <f t="shared" si="6"/>
        <v>2856230.550913577</v>
      </c>
      <c r="I26" s="29">
        <f t="shared" si="7"/>
        <v>-312374.698576194</v>
      </c>
      <c r="K26" s="38"/>
      <c r="L26" s="39"/>
      <c r="M26" s="1"/>
      <c r="N26" s="29"/>
      <c r="O26" s="29"/>
    </row>
    <row r="27" spans="1:15" x14ac:dyDescent="0.25">
      <c r="B27" s="37">
        <f t="shared" si="2"/>
        <v>13</v>
      </c>
      <c r="C27" s="38">
        <f t="shared" si="0"/>
        <v>1158877.7663502221</v>
      </c>
      <c r="D27" s="38">
        <f>C27*(1-$E$8)</f>
        <v>915513.43541667541</v>
      </c>
      <c r="E27" s="38">
        <f>E26*(1+$E$6)</f>
        <v>643820.98130567884</v>
      </c>
      <c r="F27" s="39">
        <f>E27/((1+E$3)^B27)</f>
        <v>104638.90856193674</v>
      </c>
      <c r="G27" s="1"/>
      <c r="H27" s="29">
        <f t="shared" si="6"/>
        <v>3500051.5322192558</v>
      </c>
      <c r="I27" s="29">
        <f t="shared" si="7"/>
        <v>-207735.79001425725</v>
      </c>
      <c r="K27" s="38"/>
      <c r="L27" s="39"/>
      <c r="M27" s="1"/>
      <c r="N27" s="29"/>
      <c r="O27" s="29"/>
    </row>
    <row r="28" spans="1:15" x14ac:dyDescent="0.25">
      <c r="B28" s="37">
        <f t="shared" ref="B28" si="8">B27+1</f>
        <v>14</v>
      </c>
      <c r="C28" s="38">
        <f t="shared" si="0"/>
        <v>1216821.654667733</v>
      </c>
      <c r="D28" s="38">
        <f>C28*(1-$E$8)</f>
        <v>961289.10718750907</v>
      </c>
      <c r="E28" s="38">
        <f>E27*(1+$E$6)</f>
        <v>676012.03037096281</v>
      </c>
      <c r="F28" s="39">
        <f>E28/((1+E$3)^B28)</f>
        <v>95539.873034811826</v>
      </c>
      <c r="G28" s="1"/>
      <c r="H28" s="29">
        <f t="shared" ref="H28" si="9">H27+E28</f>
        <v>4176063.5625902186</v>
      </c>
      <c r="I28" s="29">
        <f t="shared" ref="I28" si="10">I27+F28</f>
        <v>-112195.91697944542</v>
      </c>
      <c r="K28" s="38"/>
      <c r="L28" s="39"/>
      <c r="M28" s="1"/>
      <c r="N28" s="29"/>
      <c r="O28" s="29"/>
    </row>
    <row r="29" spans="1:15" x14ac:dyDescent="0.25">
      <c r="B29" s="37">
        <f t="shared" ref="B29" si="11">B28+1</f>
        <v>15</v>
      </c>
      <c r="C29" s="38">
        <f t="shared" si="0"/>
        <v>1277662.7374011199</v>
      </c>
      <c r="D29" s="38">
        <f>C29*(1-$E$8)</f>
        <v>1009353.5625468848</v>
      </c>
      <c r="E29" s="38">
        <f>E28*(1+$E$6)</f>
        <v>709812.63188951102</v>
      </c>
      <c r="F29" s="39">
        <f>E29/((1+E$3)^B29)</f>
        <v>87232.057988306478</v>
      </c>
      <c r="G29" s="1"/>
      <c r="H29" s="29">
        <f t="shared" ref="H29" si="12">H28+E29</f>
        <v>4885876.19447973</v>
      </c>
      <c r="I29" s="29">
        <f t="shared" ref="I29" si="13">I28+F29</f>
        <v>-24963.858991138943</v>
      </c>
      <c r="K29" s="38"/>
      <c r="L29" s="39"/>
      <c r="M29" s="1"/>
      <c r="N29" s="29"/>
      <c r="O29" s="29"/>
    </row>
    <row r="30" spans="1:15" x14ac:dyDescent="0.25">
      <c r="B30" s="37">
        <f t="shared" ref="B30" si="14">B29+1</f>
        <v>16</v>
      </c>
      <c r="C30" s="38">
        <f t="shared" si="0"/>
        <v>1341545.8742711758</v>
      </c>
      <c r="D30" s="38">
        <f>C30*(1-$E$8)</f>
        <v>1059821.2406742289</v>
      </c>
      <c r="E30" s="38">
        <f>E29*(1+$E$6)</f>
        <v>745303.26348398661</v>
      </c>
      <c r="F30" s="39">
        <f>E30/((1+E$3)^B30)</f>
        <v>79646.661641497238</v>
      </c>
      <c r="G30" s="1"/>
      <c r="H30" s="29">
        <f t="shared" ref="H30" si="15">H29+E30</f>
        <v>5631179.4579637162</v>
      </c>
      <c r="I30" s="29">
        <f t="shared" ref="I30" si="16">I29+F30</f>
        <v>54682.802650358295</v>
      </c>
      <c r="K30" s="38"/>
      <c r="L30" s="39"/>
      <c r="M30" s="1"/>
      <c r="N30" s="29"/>
      <c r="O30" s="29"/>
    </row>
    <row r="31" spans="1:15" x14ac:dyDescent="0.25">
      <c r="B31" s="37"/>
      <c r="C31" s="38"/>
      <c r="D31" s="38"/>
      <c r="E31" s="38"/>
      <c r="F31" s="39"/>
      <c r="G31" s="1"/>
      <c r="H31" s="29"/>
      <c r="I31" s="29"/>
      <c r="K31" s="38"/>
      <c r="L31" s="39"/>
      <c r="M31" s="1"/>
      <c r="N31" s="29"/>
      <c r="O31" s="29"/>
    </row>
    <row r="32" spans="1:15" x14ac:dyDescent="0.25">
      <c r="B32" s="37"/>
      <c r="C32" s="37"/>
      <c r="D32" s="42" t="s">
        <v>38</v>
      </c>
      <c r="E32" s="38"/>
      <c r="F32" s="43" t="s">
        <v>39</v>
      </c>
      <c r="G32" s="1"/>
      <c r="H32" s="44" t="s">
        <v>40</v>
      </c>
      <c r="I32" s="29"/>
      <c r="K32" s="38"/>
      <c r="L32" s="1"/>
      <c r="M32" s="1"/>
      <c r="N32" s="29"/>
      <c r="O32" s="29"/>
    </row>
    <row r="33" spans="2:15" ht="18" x14ac:dyDescent="0.35">
      <c r="C33" s="31" t="s">
        <v>18</v>
      </c>
      <c r="D33" s="45">
        <f>G20</f>
        <v>1113945.0467328234</v>
      </c>
      <c r="F33" s="23">
        <f>G20</f>
        <v>1113945.0467328234</v>
      </c>
      <c r="G33" s="31"/>
      <c r="H33" s="47">
        <f>G20</f>
        <v>1113945.0467328234</v>
      </c>
      <c r="I33" s="31"/>
      <c r="K33" s="33"/>
      <c r="M33" s="33"/>
      <c r="N33" s="33"/>
      <c r="O33" s="33"/>
    </row>
    <row r="34" spans="2:15" x14ac:dyDescent="0.25">
      <c r="C34" s="33" t="s">
        <v>47</v>
      </c>
      <c r="D34" s="45">
        <f>E21/(E3-E6)</f>
        <v>4804291.2892800001</v>
      </c>
      <c r="F34" s="23">
        <f>(D21*(1-E6/E7))/(E3-E6)</f>
        <v>4804291.2899996694</v>
      </c>
      <c r="H34" s="19">
        <f>C21*E9</f>
        <v>4804291.290000001</v>
      </c>
      <c r="K34" s="33"/>
    </row>
    <row r="35" spans="2:15" ht="18" x14ac:dyDescent="0.35">
      <c r="C35" s="31" t="s">
        <v>22</v>
      </c>
      <c r="D35" s="45">
        <f>D34/((1+E3)^B20)</f>
        <v>2077027.7031532545</v>
      </c>
      <c r="F35" s="23">
        <f>F34/((1+E3)^B20)</f>
        <v>2077027.7034643875</v>
      </c>
      <c r="H35" s="23">
        <f>H34/((1+E3)^B20)</f>
        <v>2077027.7034645306</v>
      </c>
      <c r="K35" s="33"/>
    </row>
    <row r="36" spans="2:15" ht="18" x14ac:dyDescent="0.35">
      <c r="C36" s="31" t="s">
        <v>23</v>
      </c>
      <c r="D36" s="45">
        <f>D33+D35</f>
        <v>3190972.7498860778</v>
      </c>
      <c r="F36" s="23">
        <f>F33+F35</f>
        <v>3190972.7501972108</v>
      </c>
      <c r="H36" s="23">
        <f>H33+H35</f>
        <v>3190972.7501973538</v>
      </c>
      <c r="K36" s="33"/>
    </row>
    <row r="37" spans="2:15" x14ac:dyDescent="0.25">
      <c r="C37" s="3"/>
      <c r="D37" s="1"/>
      <c r="F37" s="1"/>
      <c r="K37" s="3"/>
    </row>
    <row r="38" spans="2:15" x14ac:dyDescent="0.25">
      <c r="C38" s="3"/>
      <c r="D38" s="1"/>
      <c r="F38" s="1"/>
      <c r="K38" s="3"/>
    </row>
    <row r="39" spans="2:15" ht="18" x14ac:dyDescent="0.35">
      <c r="C39" s="31" t="s">
        <v>48</v>
      </c>
      <c r="D39" s="1">
        <f>D36-E11</f>
        <v>890972.74988607783</v>
      </c>
      <c r="F39" s="1">
        <f>F36-E11</f>
        <v>890972.75019721081</v>
      </c>
      <c r="H39" s="19">
        <f>H36-E11</f>
        <v>890972.75019735377</v>
      </c>
      <c r="K39" s="33"/>
    </row>
    <row r="40" spans="2:15" ht="18" x14ac:dyDescent="0.35">
      <c r="C40" s="33" t="s">
        <v>49</v>
      </c>
      <c r="D40" s="1">
        <f>NPV(E3,D49:D54)+D48</f>
        <v>890972.74988607783</v>
      </c>
      <c r="F40" s="1">
        <f>NPV(E3,F49:F54)+F48</f>
        <v>890972.75019721081</v>
      </c>
      <c r="H40" s="19">
        <f>NPV(E3,H49:H54)+H48</f>
        <v>890972.75019735424</v>
      </c>
      <c r="K40" s="33"/>
    </row>
    <row r="41" spans="2:15" x14ac:dyDescent="0.25">
      <c r="C41" s="31" t="s">
        <v>25</v>
      </c>
      <c r="D41" s="12">
        <f>IRR(D48:D54)</f>
        <v>0.22666363718869409</v>
      </c>
      <c r="F41" s="12">
        <f>IRR(F48:F54)</f>
        <v>0.22666363721127603</v>
      </c>
      <c r="H41" s="12">
        <f>IRR(H48:H54)</f>
        <v>0.22666363721128646</v>
      </c>
      <c r="K41" s="33"/>
    </row>
    <row r="42" spans="2:15" x14ac:dyDescent="0.25">
      <c r="C42" s="31" t="s">
        <v>26</v>
      </c>
      <c r="D42" s="12">
        <f>MIRR(D48:D54,E3,E3)</f>
        <v>0.21449868877317169</v>
      </c>
      <c r="F42" s="12">
        <f>MIRR(F48:F54,E3,E3)</f>
        <v>0.21449868879290812</v>
      </c>
      <c r="H42" s="12">
        <f>MIRR(H48:H54,E3,E3)</f>
        <v>0.21449868879291745</v>
      </c>
      <c r="K42" s="33"/>
    </row>
    <row r="43" spans="2:15" x14ac:dyDescent="0.25">
      <c r="C43" s="31" t="s">
        <v>27</v>
      </c>
      <c r="D43" s="13">
        <f>IF(H$15&gt;0,B$15, IF(H$16&gt;0,B$16,IF(H$17&gt;0,B$17, IF(H$18&gt;0,B$18,IF(H$19&gt;0,B$19,IF(H$20&gt;0,B$20,IF(H$21&gt;0,B$21,IF(H$22&gt;0,B$22,IF(H$23&gt;0,B$23,IF(H$24&gt;0,B$24))))))))))</f>
        <v>7</v>
      </c>
      <c r="F43" s="13">
        <f>IF(H$15&gt;0,B$15, IF(H$16&gt;0,B$16,IF(H$17&gt;0,B$17, IF(H$18&gt;0,B$18,IF(H$19&gt;0,B$19,IF(H$20&gt;0,B$20,IF(H$21&gt;0,B$21,IF(H$22&gt;0,B$22,IF(H$23&gt;0,B$23,IF(H$24&gt;0,B$24))))))))))</f>
        <v>7</v>
      </c>
      <c r="H43">
        <f>IF(H$15&gt;0,B$15, IF(H$16&gt;0,B$16,IF(H$17&gt;0,B$17, IF(H$18&gt;0,B$18,IF(H$19&gt;0,B$19,IF(H$20&gt;0,B$20,IF(H$21&gt;0,B$21,IF(H$22&gt;0,B$22,IF(H$23&gt;0,B$23,IF(H$24&gt;0,B$24))))))))))</f>
        <v>7</v>
      </c>
      <c r="K43" s="33"/>
    </row>
    <row r="44" spans="2:15" ht="30" x14ac:dyDescent="0.25">
      <c r="C44" s="9" t="s">
        <v>17</v>
      </c>
      <c r="D44" s="13">
        <f>IF(I$15&gt;0,B$15,IF(I$16&gt;0,B$16,IF(I$17&gt;0,B$17,IF(I$18&gt;0,B$18,IF(I$19&gt;0,B$19,IF(I$20&gt;0,B$20,IF(I$21&gt;0,B$21,IF(I$22&gt;0,B$22,IF(I$23&gt;0,B$23,IF(I$24&gt;0,B$24,IF(I25&gt;0,B25,IF(I26&gt;0,B26,IF(I27&gt;0,B27,IF(I28&gt;0,B28,IF(I29&gt;0,B29,IF(I30&gt;0,B30))))))))))))))))</f>
        <v>16</v>
      </c>
      <c r="F44" s="13">
        <f>IF(I$15&gt;0,B$15,IF(I$16&gt;0,B$16,IF(I$17&gt;0,B$17,IF(I$18&gt;0,B$18,IF(I$19&gt;0,B$19,IF(I$20&gt;0,B$20,IF(I$21&gt;0,B$21,IF(I$22&gt;0,B$22,IF(I$23&gt;0,B$23,IF(I$24&gt;0,B$24,IF(I25&gt;0,B25,IF(I26&gt;0,B26,IF(I27&gt;0,B27,IF(I28&gt;0,B28,IF(I29&gt;0,B29,IF(I30&gt;0,B30))))))))))))))))</f>
        <v>16</v>
      </c>
      <c r="H44">
        <f>IF(I$15&gt;0,B$15,IF(I$16&gt;0,B$16,IF(I$17&gt;0,B$17,IF(I$18&gt;0,B$18,IF(I$19&gt;0,B$19,IF(I$20&gt;0,B$20,IF(I$21&gt;0,B$21,IF(I$22&gt;0,B$22,IF(I$23&gt;0,B$23,IF(I$24&gt;0,B$24,IF(I25&gt;0,B25,IF(I26&gt;0,B26,IF(I27&gt;0,B27,IF(I28&gt;0,B28,IF(I29&gt;0,B29,IF(I30&gt;0,B30))))))))))))))))</f>
        <v>16</v>
      </c>
      <c r="K44" s="9"/>
    </row>
    <row r="45" spans="2:15" x14ac:dyDescent="0.25">
      <c r="C45" s="31" t="s">
        <v>28</v>
      </c>
      <c r="D45" s="27">
        <f>D36/E11</f>
        <v>1.3873794564722077</v>
      </c>
      <c r="F45" s="27">
        <f>F36/E11</f>
        <v>1.3873794566074829</v>
      </c>
      <c r="H45" s="27">
        <f>H36/E11</f>
        <v>1.387379456607545</v>
      </c>
      <c r="K45" s="33"/>
    </row>
    <row r="46" spans="2:15" x14ac:dyDescent="0.25">
      <c r="C46" s="31"/>
      <c r="K46" s="33"/>
    </row>
    <row r="47" spans="2:15" x14ac:dyDescent="0.25">
      <c r="D47" s="35" t="s">
        <v>29</v>
      </c>
      <c r="E47" s="35"/>
      <c r="F47" s="35"/>
      <c r="G47" s="35"/>
      <c r="H47" s="35"/>
      <c r="I47" s="31"/>
      <c r="K47" s="40"/>
      <c r="L47" s="40"/>
      <c r="M47" s="40"/>
      <c r="N47" s="33"/>
      <c r="O47" s="33"/>
    </row>
    <row r="48" spans="2:15" x14ac:dyDescent="0.25">
      <c r="B48">
        <v>0</v>
      </c>
      <c r="D48" s="1">
        <f>-E11</f>
        <v>-2300000</v>
      </c>
      <c r="E48" s="1"/>
      <c r="F48" s="1">
        <f>-E11</f>
        <v>-2300000</v>
      </c>
      <c r="G48" s="1"/>
      <c r="H48" s="1">
        <f>-E11</f>
        <v>-2300000</v>
      </c>
    </row>
    <row r="49" spans="2:8" x14ac:dyDescent="0.25">
      <c r="B49">
        <f>B48+1</f>
        <v>1</v>
      </c>
      <c r="D49" s="1">
        <f>E15</f>
        <v>200000</v>
      </c>
      <c r="E49" s="1"/>
      <c r="F49" s="1">
        <f>E15</f>
        <v>200000</v>
      </c>
      <c r="G49" s="1"/>
      <c r="H49" s="1">
        <f>E15</f>
        <v>200000</v>
      </c>
    </row>
    <row r="50" spans="2:8" x14ac:dyDescent="0.25">
      <c r="B50">
        <f>B49+1</f>
        <v>2</v>
      </c>
      <c r="D50" s="1">
        <f>E16</f>
        <v>236000</v>
      </c>
      <c r="E50" s="1"/>
      <c r="F50" s="1">
        <f t="shared" ref="F50:H58" si="17">E16</f>
        <v>236000</v>
      </c>
      <c r="G50" s="1"/>
      <c r="H50" s="1">
        <f t="shared" ref="H50:H54" si="18">E16</f>
        <v>236000</v>
      </c>
    </row>
    <row r="51" spans="2:8" x14ac:dyDescent="0.25">
      <c r="B51">
        <f t="shared" ref="B51:B58" si="19">B50+1</f>
        <v>3</v>
      </c>
      <c r="D51" s="1">
        <f>E17</f>
        <v>278480</v>
      </c>
      <c r="E51" s="1"/>
      <c r="F51" s="1">
        <f t="shared" si="17"/>
        <v>278480</v>
      </c>
      <c r="G51" s="1"/>
      <c r="H51" s="1">
        <f t="shared" si="18"/>
        <v>278480</v>
      </c>
    </row>
    <row r="52" spans="2:8" x14ac:dyDescent="0.25">
      <c r="B52">
        <f t="shared" si="19"/>
        <v>4</v>
      </c>
      <c r="D52" s="1">
        <f>E18</f>
        <v>328606.39999999997</v>
      </c>
      <c r="E52" s="1"/>
      <c r="F52" s="1">
        <f t="shared" si="17"/>
        <v>328606.39999999997</v>
      </c>
      <c r="G52" s="1"/>
      <c r="H52" s="1">
        <f t="shared" si="18"/>
        <v>328606.39999999997</v>
      </c>
    </row>
    <row r="53" spans="2:8" x14ac:dyDescent="0.25">
      <c r="B53">
        <f t="shared" si="19"/>
        <v>5</v>
      </c>
      <c r="D53" s="1">
        <f>E19</f>
        <v>387755.55199999997</v>
      </c>
      <c r="E53" s="1"/>
      <c r="F53" s="1">
        <f t="shared" si="17"/>
        <v>387755.55199999997</v>
      </c>
      <c r="G53" s="1"/>
      <c r="H53" s="1">
        <f t="shared" si="18"/>
        <v>387755.55199999997</v>
      </c>
    </row>
    <row r="54" spans="2:8" x14ac:dyDescent="0.25">
      <c r="B54">
        <f t="shared" si="19"/>
        <v>6</v>
      </c>
      <c r="D54" s="1">
        <f>E20+D34</f>
        <v>5261842.8406400001</v>
      </c>
      <c r="E54" s="1"/>
      <c r="F54" s="1">
        <f>E20+F34</f>
        <v>5261842.8413596693</v>
      </c>
      <c r="G54" s="1"/>
      <c r="H54" s="1">
        <f>E20+H34</f>
        <v>5261842.8413600009</v>
      </c>
    </row>
    <row r="55" spans="2:8" x14ac:dyDescent="0.25">
      <c r="D55" s="46"/>
      <c r="E55" s="3"/>
      <c r="F55" s="29"/>
    </row>
    <row r="56" spans="2:8" x14ac:dyDescent="0.25">
      <c r="D56" s="46"/>
      <c r="E56" s="3"/>
      <c r="F56" s="29"/>
    </row>
    <row r="57" spans="2:8" x14ac:dyDescent="0.25">
      <c r="D57" s="46"/>
      <c r="E57" s="3"/>
      <c r="F57" s="29"/>
    </row>
    <row r="58" spans="2:8" ht="18.75" x14ac:dyDescent="0.35">
      <c r="B58" s="52">
        <v>1</v>
      </c>
      <c r="C58" t="s">
        <v>51</v>
      </c>
      <c r="D58" s="46"/>
      <c r="E58" s="3"/>
      <c r="F58" s="29"/>
    </row>
    <row r="59" spans="2:8" ht="18.75" x14ac:dyDescent="0.35">
      <c r="B59" s="52">
        <v>2</v>
      </c>
      <c r="C59" t="s">
        <v>53</v>
      </c>
    </row>
    <row r="60" spans="2:8" x14ac:dyDescent="0.25">
      <c r="E60" s="3"/>
    </row>
  </sheetData>
  <mergeCells count="2">
    <mergeCell ref="B1:I1"/>
    <mergeCell ref="D47:H47"/>
  </mergeCells>
  <pageMargins left="0.7" right="0.7" top="0.75" bottom="0.75" header="0.3" footer="0.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workbookViewId="0">
      <selection activeCell="U7" sqref="U7"/>
    </sheetView>
  </sheetViews>
  <sheetFormatPr defaultRowHeight="15" x14ac:dyDescent="0.25"/>
  <cols>
    <col min="1" max="1" width="3.7109375" customWidth="1"/>
    <col min="2" max="6" width="12.7109375" customWidth="1"/>
    <col min="7" max="8" width="3.7109375" customWidth="1"/>
    <col min="9" max="10" width="13.28515625" bestFit="1" customWidth="1"/>
    <col min="11" max="13" width="12.7109375" customWidth="1"/>
    <col min="14" max="15" width="3.7109375" customWidth="1"/>
    <col min="16" max="16" width="12.7109375" customWidth="1"/>
    <col min="17" max="17" width="13.28515625" bestFit="1" customWidth="1"/>
    <col min="18" max="20" width="12.7109375" customWidth="1"/>
    <col min="21" max="21" width="10.7109375" bestFit="1" customWidth="1"/>
    <col min="22" max="23" width="15.7109375" customWidth="1"/>
  </cols>
  <sheetData>
    <row r="1" spans="1:23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24"/>
      <c r="T1" s="24"/>
    </row>
    <row r="3" spans="1:23" x14ac:dyDescent="0.25">
      <c r="A3" s="35" t="s">
        <v>30</v>
      </c>
      <c r="B3" s="35"/>
      <c r="C3" s="35"/>
      <c r="D3" s="35"/>
      <c r="E3" s="24"/>
      <c r="F3" s="24"/>
      <c r="H3" s="35" t="s">
        <v>31</v>
      </c>
      <c r="I3" s="35"/>
      <c r="J3" s="35"/>
      <c r="K3" s="35"/>
      <c r="L3" s="24"/>
      <c r="M3" s="24"/>
      <c r="O3" s="35" t="s">
        <v>32</v>
      </c>
      <c r="P3" s="35"/>
      <c r="Q3" s="35"/>
      <c r="R3" s="35"/>
      <c r="S3" s="24"/>
      <c r="T3" s="24"/>
    </row>
    <row r="4" spans="1:23" x14ac:dyDescent="0.25">
      <c r="B4" s="24" t="s">
        <v>34</v>
      </c>
      <c r="C4" s="16">
        <v>0.09</v>
      </c>
      <c r="I4" s="31" t="s">
        <v>34</v>
      </c>
      <c r="J4" s="16">
        <f>C4</f>
        <v>0.09</v>
      </c>
      <c r="P4" s="31" t="s">
        <v>34</v>
      </c>
      <c r="Q4" s="16">
        <f>C4</f>
        <v>0.09</v>
      </c>
    </row>
    <row r="5" spans="1:23" ht="18" x14ac:dyDescent="0.35">
      <c r="B5" s="24" t="s">
        <v>1</v>
      </c>
      <c r="C5" s="13">
        <v>75000</v>
      </c>
      <c r="I5" s="24" t="s">
        <v>2</v>
      </c>
      <c r="J5" s="13">
        <v>75000</v>
      </c>
      <c r="P5" s="24" t="s">
        <v>3</v>
      </c>
      <c r="Q5" s="13">
        <v>0</v>
      </c>
    </row>
    <row r="6" spans="1:23" ht="18" x14ac:dyDescent="0.35">
      <c r="B6" s="24"/>
      <c r="C6" s="13"/>
      <c r="I6" s="24"/>
      <c r="J6" s="13"/>
      <c r="P6" s="24" t="s">
        <v>35</v>
      </c>
      <c r="Q6" s="13">
        <v>150000</v>
      </c>
    </row>
    <row r="7" spans="1:23" x14ac:dyDescent="0.25">
      <c r="B7" s="24"/>
      <c r="C7" s="13"/>
      <c r="I7" s="24"/>
      <c r="J7" s="13"/>
      <c r="P7" s="24"/>
      <c r="Q7" s="13"/>
    </row>
    <row r="8" spans="1:23" ht="18" x14ac:dyDescent="0.35">
      <c r="P8" s="24" t="s">
        <v>4</v>
      </c>
      <c r="Q8" s="13">
        <v>15</v>
      </c>
    </row>
    <row r="9" spans="1:23" ht="18" x14ac:dyDescent="0.35">
      <c r="B9" s="24" t="s">
        <v>33</v>
      </c>
      <c r="C9" s="16">
        <v>0.15</v>
      </c>
      <c r="I9" s="24" t="s">
        <v>6</v>
      </c>
      <c r="J9" s="16">
        <v>0</v>
      </c>
      <c r="P9" s="24" t="s">
        <v>33</v>
      </c>
      <c r="Q9" s="16">
        <v>0</v>
      </c>
    </row>
    <row r="10" spans="1:23" ht="18" x14ac:dyDescent="0.35">
      <c r="B10" s="24"/>
      <c r="C10" s="16"/>
      <c r="I10" s="24" t="s">
        <v>8</v>
      </c>
      <c r="J10" s="16">
        <v>2.5000000000000001E-2</v>
      </c>
      <c r="P10" s="24" t="s">
        <v>36</v>
      </c>
      <c r="Q10" s="16">
        <v>2.5000000000000001E-2</v>
      </c>
    </row>
    <row r="11" spans="1:23" ht="18" x14ac:dyDescent="0.35">
      <c r="B11" s="24"/>
      <c r="C11" s="14"/>
      <c r="I11" s="24"/>
      <c r="J11" s="14"/>
      <c r="P11" s="24" t="s">
        <v>8</v>
      </c>
      <c r="Q11" s="16">
        <v>2.5000000000000001E-2</v>
      </c>
    </row>
    <row r="12" spans="1:23" ht="30" x14ac:dyDescent="0.25">
      <c r="B12" s="28" t="s">
        <v>9</v>
      </c>
      <c r="C12" s="17">
        <v>500000</v>
      </c>
      <c r="I12" s="28" t="s">
        <v>9</v>
      </c>
      <c r="J12" s="17">
        <v>500000</v>
      </c>
      <c r="P12" s="9" t="s">
        <v>9</v>
      </c>
      <c r="Q12" s="18">
        <v>500000</v>
      </c>
    </row>
    <row r="13" spans="1:23" ht="48" x14ac:dyDescent="0.35">
      <c r="B13" s="28" t="s">
        <v>10</v>
      </c>
      <c r="C13" s="13">
        <v>50000</v>
      </c>
      <c r="H13" s="36" t="s">
        <v>11</v>
      </c>
      <c r="I13" s="36"/>
      <c r="J13" s="13">
        <f>J30</f>
        <v>1182692.3076923077</v>
      </c>
      <c r="P13" s="9" t="s">
        <v>12</v>
      </c>
      <c r="Q13" s="13">
        <v>10</v>
      </c>
    </row>
    <row r="14" spans="1:23" x14ac:dyDescent="0.25">
      <c r="B14" s="9"/>
      <c r="C14" s="8"/>
      <c r="I14" s="9"/>
      <c r="J14" s="8"/>
      <c r="P14" s="9"/>
      <c r="Q14" s="10"/>
    </row>
    <row r="15" spans="1:23" ht="31.5" x14ac:dyDescent="0.35">
      <c r="B15" s="11" t="s">
        <v>13</v>
      </c>
      <c r="C15" s="11" t="s">
        <v>14</v>
      </c>
      <c r="D15" s="25" t="s">
        <v>15</v>
      </c>
      <c r="E15" s="26" t="s">
        <v>16</v>
      </c>
      <c r="F15" s="26" t="s">
        <v>17</v>
      </c>
      <c r="G15" s="14"/>
      <c r="H15" s="14"/>
      <c r="I15" s="11" t="s">
        <v>13</v>
      </c>
      <c r="J15" s="11" t="s">
        <v>14</v>
      </c>
      <c r="K15" s="25" t="s">
        <v>15</v>
      </c>
      <c r="L15" s="26" t="s">
        <v>16</v>
      </c>
      <c r="M15" s="26" t="s">
        <v>17</v>
      </c>
      <c r="N15" s="14"/>
      <c r="O15" s="14"/>
      <c r="P15" s="11" t="s">
        <v>13</v>
      </c>
      <c r="Q15" s="11" t="s">
        <v>14</v>
      </c>
      <c r="R15" s="25" t="s">
        <v>15</v>
      </c>
      <c r="S15" s="26" t="s">
        <v>16</v>
      </c>
      <c r="T15" s="26" t="s">
        <v>17</v>
      </c>
      <c r="U15" s="14"/>
      <c r="V15" s="2"/>
      <c r="W15" s="15"/>
    </row>
    <row r="16" spans="1:23" x14ac:dyDescent="0.25">
      <c r="A16" s="2">
        <v>0</v>
      </c>
      <c r="B16" s="5"/>
      <c r="C16" s="5">
        <f t="shared" ref="C16:C19" si="0">B16/((1+C$4)^A16)</f>
        <v>0</v>
      </c>
      <c r="D16" s="5">
        <f>C16</f>
        <v>0</v>
      </c>
      <c r="E16" s="5"/>
      <c r="F16" s="5"/>
      <c r="H16" s="2">
        <v>0</v>
      </c>
      <c r="I16" s="5"/>
      <c r="J16" s="5">
        <f t="shared" ref="J16:J26" si="1">I16/((1+J$4)^H16)</f>
        <v>0</v>
      </c>
      <c r="K16" s="5">
        <f>J16</f>
        <v>0</v>
      </c>
      <c r="L16" s="5"/>
      <c r="M16" s="5"/>
      <c r="O16" s="2">
        <v>0</v>
      </c>
      <c r="P16" s="30"/>
      <c r="Q16" s="5">
        <f t="shared" ref="Q16:Q26" si="2">P16/((1+Q$4)^O16)</f>
        <v>0</v>
      </c>
      <c r="R16" s="5">
        <f>Q16</f>
        <v>0</v>
      </c>
      <c r="S16" s="5"/>
      <c r="T16" s="5"/>
      <c r="V16" s="1"/>
      <c r="W16" s="1"/>
    </row>
    <row r="17" spans="1:23" x14ac:dyDescent="0.25">
      <c r="A17" s="2">
        <v>1</v>
      </c>
      <c r="B17" s="29">
        <f>C5</f>
        <v>75000</v>
      </c>
      <c r="C17" s="1">
        <f>B17/((1+C$4)^A17)</f>
        <v>68807.339449541279</v>
      </c>
      <c r="D17" s="1">
        <f>D16+C17</f>
        <v>68807.339449541279</v>
      </c>
      <c r="E17" s="1">
        <f>-C12+B17</f>
        <v>-425000</v>
      </c>
      <c r="F17" s="1">
        <f>-C12+C17</f>
        <v>-431192.66055045871</v>
      </c>
      <c r="H17" s="2">
        <f>H16+1</f>
        <v>1</v>
      </c>
      <c r="I17" s="29">
        <f>J5</f>
        <v>75000</v>
      </c>
      <c r="J17" s="1">
        <f t="shared" si="1"/>
        <v>68807.339449541279</v>
      </c>
      <c r="K17" s="1">
        <f>K16+J17</f>
        <v>68807.339449541279</v>
      </c>
      <c r="L17" s="1">
        <f>-J12+I17</f>
        <v>-425000</v>
      </c>
      <c r="M17" s="1">
        <f>-J12+J17</f>
        <v>-431192.66055045871</v>
      </c>
      <c r="O17" s="2">
        <f>O16+1</f>
        <v>1</v>
      </c>
      <c r="P17" s="29">
        <f>Q5</f>
        <v>0</v>
      </c>
      <c r="Q17" s="1">
        <f t="shared" si="2"/>
        <v>0</v>
      </c>
      <c r="R17" s="1">
        <f>R16+Q17</f>
        <v>0</v>
      </c>
      <c r="S17" s="1">
        <f>-Q12+P17</f>
        <v>-500000</v>
      </c>
      <c r="T17" s="1">
        <f>-Q12+Q17</f>
        <v>-500000</v>
      </c>
      <c r="V17" s="1"/>
      <c r="W17" s="1"/>
    </row>
    <row r="18" spans="1:23" x14ac:dyDescent="0.25">
      <c r="A18" s="2">
        <f t="shared" ref="A18:A24" si="3">A17+1</f>
        <v>2</v>
      </c>
      <c r="B18" s="29">
        <f>B17*(1+$C$9)</f>
        <v>86250</v>
      </c>
      <c r="C18" s="1">
        <f t="shared" si="0"/>
        <v>72594.899419240799</v>
      </c>
      <c r="D18" s="1">
        <f t="shared" ref="D18:D19" si="4">D17+C18</f>
        <v>141402.23886878206</v>
      </c>
      <c r="E18" s="1">
        <f>E17+B18</f>
        <v>-338750</v>
      </c>
      <c r="F18" s="1">
        <f>F17+C18</f>
        <v>-358597.76113121794</v>
      </c>
      <c r="H18" s="2">
        <f t="shared" ref="H18:H25" si="5">H17+1</f>
        <v>2</v>
      </c>
      <c r="I18" s="29">
        <f>$I17*(1+$J$9)</f>
        <v>75000</v>
      </c>
      <c r="J18" s="1">
        <f t="shared" si="1"/>
        <v>63125.999494991993</v>
      </c>
      <c r="K18" s="1">
        <f t="shared" ref="K18:K26" si="6">K17+J18</f>
        <v>131933.33894453326</v>
      </c>
      <c r="L18" s="1">
        <f>L17+I18</f>
        <v>-350000</v>
      </c>
      <c r="M18" s="1">
        <f>M17+J18</f>
        <v>-368066.66105546674</v>
      </c>
      <c r="O18" s="2">
        <f t="shared" ref="O18:O25" si="7">O17+1</f>
        <v>2</v>
      </c>
      <c r="P18" s="29">
        <f>P17*(1+$Q$9)</f>
        <v>0</v>
      </c>
      <c r="Q18" s="1">
        <f t="shared" si="2"/>
        <v>0</v>
      </c>
      <c r="R18" s="1">
        <f t="shared" ref="R18:R26" si="8">R17+Q18</f>
        <v>0</v>
      </c>
      <c r="S18" s="1">
        <f>S17+P18</f>
        <v>-500000</v>
      </c>
      <c r="T18" s="1">
        <f>T17+Q18</f>
        <v>-500000</v>
      </c>
      <c r="V18" s="1"/>
      <c r="W18" s="1"/>
    </row>
    <row r="19" spans="1:23" x14ac:dyDescent="0.25">
      <c r="A19" s="2">
        <f t="shared" si="3"/>
        <v>3</v>
      </c>
      <c r="B19" s="29">
        <f>B18*(1+$C$9)</f>
        <v>99187.499999999985</v>
      </c>
      <c r="C19" s="1">
        <f t="shared" si="0"/>
        <v>76590.948928556783</v>
      </c>
      <c r="D19" s="1">
        <f t="shared" si="4"/>
        <v>217993.18779733885</v>
      </c>
      <c r="E19" s="1">
        <f t="shared" ref="E19" si="9">E18+B19</f>
        <v>-239562.5</v>
      </c>
      <c r="F19" s="1">
        <f>F18+C19</f>
        <v>-282006.81220266118</v>
      </c>
      <c r="H19" s="2">
        <f t="shared" si="5"/>
        <v>3</v>
      </c>
      <c r="I19" s="29">
        <f t="shared" ref="I19:I26" si="10">I18*(1+$J$9)</f>
        <v>75000</v>
      </c>
      <c r="J19" s="1">
        <f t="shared" si="1"/>
        <v>57913.761004579814</v>
      </c>
      <c r="K19" s="1">
        <f t="shared" si="6"/>
        <v>189847.09994911306</v>
      </c>
      <c r="L19" s="1">
        <f t="shared" ref="L19:L20" si="11">L18+I19</f>
        <v>-275000</v>
      </c>
      <c r="M19" s="1">
        <f t="shared" ref="M19:M20" si="12">M18+J19</f>
        <v>-310152.90005088691</v>
      </c>
      <c r="O19" s="2">
        <f t="shared" si="7"/>
        <v>3</v>
      </c>
      <c r="P19" s="29">
        <f>P18*(1+$Q$9)</f>
        <v>0</v>
      </c>
      <c r="Q19" s="1">
        <f t="shared" si="2"/>
        <v>0</v>
      </c>
      <c r="R19" s="1">
        <f t="shared" si="8"/>
        <v>0</v>
      </c>
      <c r="S19" s="1">
        <f t="shared" ref="S19:S24" si="13">S18+P19</f>
        <v>-500000</v>
      </c>
      <c r="T19" s="1">
        <f t="shared" ref="T19:T24" si="14">T18+Q19</f>
        <v>-500000</v>
      </c>
      <c r="V19" s="1"/>
      <c r="W19" s="1"/>
    </row>
    <row r="20" spans="1:23" x14ac:dyDescent="0.25">
      <c r="A20" s="2">
        <f t="shared" si="3"/>
        <v>4</v>
      </c>
      <c r="B20" s="29">
        <f t="shared" ref="B20:B21" si="15">B19*(1+$C$9)</f>
        <v>114065.62499999997</v>
      </c>
      <c r="C20" s="1">
        <f t="shared" ref="C20:C21" si="16">B20/((1+C$4)^A20)</f>
        <v>80806.964465908532</v>
      </c>
      <c r="D20" s="1">
        <f t="shared" ref="D20:D21" si="17">D19+C20</f>
        <v>298800.15226324741</v>
      </c>
      <c r="E20" s="1">
        <f t="shared" ref="E20:F21" si="18">E19+B20</f>
        <v>-125496.87500000003</v>
      </c>
      <c r="F20" s="1">
        <f t="shared" si="18"/>
        <v>-201199.84773675265</v>
      </c>
      <c r="H20" s="2">
        <f t="shared" si="5"/>
        <v>4</v>
      </c>
      <c r="I20" s="29">
        <f t="shared" si="10"/>
        <v>75000</v>
      </c>
      <c r="J20" s="1">
        <f t="shared" si="1"/>
        <v>53131.890829889737</v>
      </c>
      <c r="K20" s="1">
        <f t="shared" si="6"/>
        <v>242978.99077900281</v>
      </c>
      <c r="L20" s="1">
        <f t="shared" si="11"/>
        <v>-200000</v>
      </c>
      <c r="M20" s="1">
        <f t="shared" si="12"/>
        <v>-257021.00922099716</v>
      </c>
      <c r="O20" s="2">
        <f t="shared" si="7"/>
        <v>4</v>
      </c>
      <c r="P20" s="29">
        <f>P19*(1+$Q$9)</f>
        <v>0</v>
      </c>
      <c r="Q20" s="1">
        <f t="shared" si="2"/>
        <v>0</v>
      </c>
      <c r="R20" s="1">
        <f t="shared" si="8"/>
        <v>0</v>
      </c>
      <c r="S20" s="1">
        <f t="shared" si="13"/>
        <v>-500000</v>
      </c>
      <c r="T20" s="1">
        <f t="shared" si="14"/>
        <v>-500000</v>
      </c>
      <c r="V20" s="1"/>
      <c r="W20" s="1"/>
    </row>
    <row r="21" spans="1:23" x14ac:dyDescent="0.25">
      <c r="A21" s="2">
        <f t="shared" si="3"/>
        <v>5</v>
      </c>
      <c r="B21" s="29">
        <f t="shared" si="15"/>
        <v>131175.46874999997</v>
      </c>
      <c r="C21" s="1">
        <f t="shared" si="16"/>
        <v>85255.054253022754</v>
      </c>
      <c r="D21" s="1">
        <f t="shared" si="17"/>
        <v>384055.20651627018</v>
      </c>
      <c r="E21" s="1">
        <f t="shared" si="18"/>
        <v>5678.5937499999418</v>
      </c>
      <c r="F21" s="1">
        <f t="shared" ref="F21" si="19">F20+C21</f>
        <v>-115944.7934837299</v>
      </c>
      <c r="H21" s="2">
        <f t="shared" si="5"/>
        <v>5</v>
      </c>
      <c r="I21" s="29">
        <f t="shared" si="10"/>
        <v>75000</v>
      </c>
      <c r="J21" s="1">
        <f t="shared" si="1"/>
        <v>48744.853972375895</v>
      </c>
      <c r="K21" s="1">
        <f t="shared" si="6"/>
        <v>291723.8447513787</v>
      </c>
      <c r="L21" s="1">
        <f t="shared" ref="L21:L26" si="20">L20+I21</f>
        <v>-125000</v>
      </c>
      <c r="M21" s="1">
        <f t="shared" ref="M21:M26" si="21">M20+J21</f>
        <v>-208276.15524862127</v>
      </c>
      <c r="O21" s="2">
        <f t="shared" si="7"/>
        <v>5</v>
      </c>
      <c r="P21" s="29">
        <f>Q6</f>
        <v>150000</v>
      </c>
      <c r="Q21" s="1">
        <f t="shared" si="2"/>
        <v>97489.70794475179</v>
      </c>
      <c r="R21" s="1">
        <f t="shared" si="8"/>
        <v>97489.70794475179</v>
      </c>
      <c r="S21" s="1">
        <f t="shared" si="13"/>
        <v>-350000</v>
      </c>
      <c r="T21" s="1">
        <f t="shared" si="14"/>
        <v>-402510.29205524822</v>
      </c>
      <c r="V21" s="1"/>
      <c r="W21" s="1"/>
    </row>
    <row r="22" spans="1:23" x14ac:dyDescent="0.25">
      <c r="A22" s="2">
        <f t="shared" si="3"/>
        <v>6</v>
      </c>
      <c r="B22" s="29">
        <f t="shared" ref="B22" si="22">B21*(1+$C$9)</f>
        <v>150851.78906249994</v>
      </c>
      <c r="C22" s="1">
        <f t="shared" ref="C22" si="23">B22/((1+C$4)^A22)</f>
        <v>89947.993019244168</v>
      </c>
      <c r="D22" s="1">
        <f t="shared" ref="D22" si="24">D21+C22</f>
        <v>474003.19953551434</v>
      </c>
      <c r="E22" s="1">
        <f t="shared" ref="E22" si="25">E21+B22</f>
        <v>156530.38281249988</v>
      </c>
      <c r="F22" s="1">
        <f t="shared" ref="F22" si="26">F21+C22</f>
        <v>-25996.800464485728</v>
      </c>
      <c r="H22" s="2">
        <f t="shared" si="5"/>
        <v>6</v>
      </c>
      <c r="I22" s="29">
        <f t="shared" si="10"/>
        <v>75000</v>
      </c>
      <c r="J22" s="1">
        <f t="shared" si="1"/>
        <v>44720.049515941188</v>
      </c>
      <c r="K22" s="1">
        <f t="shared" si="6"/>
        <v>336443.89426731988</v>
      </c>
      <c r="L22" s="1">
        <f t="shared" si="20"/>
        <v>-50000</v>
      </c>
      <c r="M22" s="1">
        <f t="shared" si="21"/>
        <v>-163556.10573268009</v>
      </c>
      <c r="O22" s="2">
        <f t="shared" si="7"/>
        <v>6</v>
      </c>
      <c r="P22" s="29">
        <f>P21*(1+$Q$10)</f>
        <v>153750</v>
      </c>
      <c r="Q22" s="1">
        <f t="shared" si="2"/>
        <v>91676.101507679428</v>
      </c>
      <c r="R22" s="1">
        <f t="shared" si="8"/>
        <v>189165.80945243122</v>
      </c>
      <c r="S22" s="1">
        <f t="shared" si="13"/>
        <v>-196250</v>
      </c>
      <c r="T22" s="1">
        <f t="shared" si="14"/>
        <v>-310834.19054756878</v>
      </c>
      <c r="V22" s="1"/>
      <c r="W22" s="1"/>
    </row>
    <row r="23" spans="1:23" x14ac:dyDescent="0.25">
      <c r="A23" s="2">
        <f t="shared" si="3"/>
        <v>7</v>
      </c>
      <c r="B23" s="29">
        <f t="shared" ref="B23" si="27">B22*(1+$C$9)</f>
        <v>173479.55742187492</v>
      </c>
      <c r="C23" s="1">
        <f t="shared" ref="C23:C24" si="28">B23/((1+C$4)^A23)</f>
        <v>94899.258690028248</v>
      </c>
      <c r="D23" s="1">
        <f t="shared" ref="D23:D24" si="29">D22+C23</f>
        <v>568902.45822554256</v>
      </c>
      <c r="E23" s="1">
        <f t="shared" ref="E23:E24" si="30">E22+B23</f>
        <v>330009.94023437484</v>
      </c>
      <c r="F23" s="1">
        <f t="shared" ref="F23:F24" si="31">F22+C23</f>
        <v>68902.458225542519</v>
      </c>
      <c r="H23" s="2">
        <f t="shared" si="5"/>
        <v>7</v>
      </c>
      <c r="I23" s="29">
        <f t="shared" si="10"/>
        <v>75000</v>
      </c>
      <c r="J23" s="1">
        <f t="shared" si="1"/>
        <v>41027.568363248793</v>
      </c>
      <c r="K23" s="1">
        <f t="shared" si="6"/>
        <v>377471.46263056865</v>
      </c>
      <c r="L23" s="1">
        <f t="shared" si="20"/>
        <v>25000</v>
      </c>
      <c r="M23" s="1">
        <f t="shared" si="21"/>
        <v>-122528.5373694313</v>
      </c>
      <c r="O23" s="2">
        <f t="shared" si="7"/>
        <v>7</v>
      </c>
      <c r="P23" s="29">
        <f>P22*(1+$Q$10)</f>
        <v>157593.75</v>
      </c>
      <c r="Q23" s="1">
        <f t="shared" si="2"/>
        <v>86209.17802327653</v>
      </c>
      <c r="R23" s="1">
        <f t="shared" si="8"/>
        <v>275374.98747570778</v>
      </c>
      <c r="S23" s="1">
        <f t="shared" si="13"/>
        <v>-38656.25</v>
      </c>
      <c r="T23" s="1">
        <f t="shared" si="14"/>
        <v>-224625.01252429225</v>
      </c>
      <c r="V23" s="1"/>
      <c r="W23" s="1"/>
    </row>
    <row r="24" spans="1:23" x14ac:dyDescent="0.25">
      <c r="A24" s="2">
        <f t="shared" si="3"/>
        <v>8</v>
      </c>
      <c r="B24" s="29">
        <f>B23*(1+$C$9)</f>
        <v>199501.49103515616</v>
      </c>
      <c r="C24" s="1">
        <f t="shared" si="28"/>
        <v>100123.07109498391</v>
      </c>
      <c r="D24" s="1">
        <f t="shared" si="29"/>
        <v>669025.52932052652</v>
      </c>
      <c r="E24" s="1">
        <f t="shared" si="30"/>
        <v>529511.43126953102</v>
      </c>
      <c r="F24" s="1">
        <f t="shared" si="31"/>
        <v>169025.52932052643</v>
      </c>
      <c r="H24" s="2">
        <f t="shared" si="5"/>
        <v>8</v>
      </c>
      <c r="I24" s="29">
        <f t="shared" si="10"/>
        <v>75000</v>
      </c>
      <c r="J24" s="1">
        <f t="shared" si="1"/>
        <v>37639.970975457611</v>
      </c>
      <c r="K24" s="1">
        <f t="shared" si="6"/>
        <v>415111.43360602629</v>
      </c>
      <c r="L24" s="1">
        <f t="shared" si="20"/>
        <v>100000</v>
      </c>
      <c r="M24" s="1">
        <f t="shared" si="21"/>
        <v>-84888.566393973684</v>
      </c>
      <c r="O24" s="2">
        <f t="shared" si="7"/>
        <v>8</v>
      </c>
      <c r="P24" s="29">
        <f>P23*(1+$Q$10)</f>
        <v>161533.59375</v>
      </c>
      <c r="Q24" s="1">
        <f t="shared" si="2"/>
        <v>81068.263737484813</v>
      </c>
      <c r="R24" s="1">
        <f t="shared" si="8"/>
        <v>356443.25121319259</v>
      </c>
      <c r="S24" s="1">
        <f t="shared" si="13"/>
        <v>122877.34375</v>
      </c>
      <c r="T24" s="1">
        <f t="shared" si="14"/>
        <v>-143556.74878680744</v>
      </c>
      <c r="V24" s="1"/>
      <c r="W24" s="1"/>
    </row>
    <row r="25" spans="1:23" x14ac:dyDescent="0.25">
      <c r="A25" s="2"/>
      <c r="B25" s="1"/>
      <c r="C25" s="1"/>
      <c r="D25" s="1"/>
      <c r="E25" s="1"/>
      <c r="F25" s="1"/>
      <c r="H25" s="2">
        <f t="shared" si="5"/>
        <v>9</v>
      </c>
      <c r="I25" s="29">
        <f t="shared" si="10"/>
        <v>75000</v>
      </c>
      <c r="J25" s="1">
        <f t="shared" si="1"/>
        <v>34532.083463722571</v>
      </c>
      <c r="K25" s="1">
        <f t="shared" si="6"/>
        <v>449643.51706974884</v>
      </c>
      <c r="L25" s="1">
        <f t="shared" si="20"/>
        <v>175000</v>
      </c>
      <c r="M25" s="1">
        <f t="shared" si="21"/>
        <v>-50356.482930251113</v>
      </c>
      <c r="O25" s="2">
        <f t="shared" si="7"/>
        <v>9</v>
      </c>
      <c r="P25" s="29">
        <f>P24*(1+$Q$10)</f>
        <v>165571.93359375</v>
      </c>
      <c r="Q25" s="1">
        <f t="shared" si="2"/>
        <v>76233.917734790753</v>
      </c>
      <c r="R25" s="1">
        <f t="shared" si="8"/>
        <v>432677.16894798336</v>
      </c>
      <c r="S25" s="1">
        <f t="shared" ref="S25:S26" si="32">S24+P25</f>
        <v>288449.27734375</v>
      </c>
      <c r="T25" s="1">
        <f t="shared" ref="T25:T26" si="33">T24+Q25</f>
        <v>-67322.831052016685</v>
      </c>
      <c r="V25" s="1"/>
      <c r="W25" s="1"/>
    </row>
    <row r="26" spans="1:23" x14ac:dyDescent="0.25">
      <c r="A26" s="2"/>
      <c r="B26" s="1"/>
      <c r="C26" s="1"/>
      <c r="D26" s="1"/>
      <c r="E26" s="1"/>
      <c r="F26" s="1"/>
      <c r="H26" s="2">
        <v>10</v>
      </c>
      <c r="I26" s="29">
        <f t="shared" si="10"/>
        <v>75000</v>
      </c>
      <c r="J26" s="1">
        <f t="shared" si="1"/>
        <v>31680.810517176669</v>
      </c>
      <c r="K26" s="1">
        <f t="shared" si="6"/>
        <v>481324.32758692553</v>
      </c>
      <c r="L26" s="1">
        <f t="shared" si="20"/>
        <v>250000</v>
      </c>
      <c r="M26" s="1">
        <f t="shared" si="21"/>
        <v>-18675.672413074444</v>
      </c>
      <c r="O26" s="2">
        <v>10</v>
      </c>
      <c r="P26" s="29">
        <f>P25*(1+$Q$10)</f>
        <v>169711.23193359372</v>
      </c>
      <c r="Q26" s="1">
        <f t="shared" si="2"/>
        <v>71687.858420330725</v>
      </c>
      <c r="R26" s="1">
        <f t="shared" si="8"/>
        <v>504365.0273683141</v>
      </c>
      <c r="S26" s="1">
        <f t="shared" si="32"/>
        <v>458160.50927734375</v>
      </c>
      <c r="T26" s="1">
        <f t="shared" si="33"/>
        <v>4365.0273683140404</v>
      </c>
      <c r="V26" s="1"/>
      <c r="W26" s="1"/>
    </row>
    <row r="27" spans="1:23" ht="18" x14ac:dyDescent="0.35">
      <c r="A27" s="2" t="s">
        <v>2</v>
      </c>
      <c r="B27" s="1">
        <v>0</v>
      </c>
      <c r="H27" s="2" t="s">
        <v>2</v>
      </c>
      <c r="I27" s="29">
        <f>I26*(1+J10)</f>
        <v>76875</v>
      </c>
      <c r="J27" s="1"/>
      <c r="K27" s="1"/>
      <c r="L27" s="1"/>
      <c r="M27" s="1"/>
      <c r="O27" s="2" t="s">
        <v>2</v>
      </c>
      <c r="P27" s="29">
        <f>P26*(1+$Q$11)</f>
        <v>173954.01273193356</v>
      </c>
      <c r="Q27" s="1"/>
      <c r="R27" s="1"/>
      <c r="S27" s="1"/>
      <c r="T27" s="1"/>
    </row>
    <row r="28" spans="1:23" x14ac:dyDescent="0.25">
      <c r="A28" s="2"/>
      <c r="B28" s="1"/>
      <c r="H28" s="2"/>
      <c r="I28" s="1"/>
      <c r="J28" s="1"/>
      <c r="K28" s="1"/>
      <c r="L28" s="1"/>
      <c r="M28" s="1"/>
      <c r="O28" s="2"/>
      <c r="P28" s="1"/>
      <c r="Q28" s="1"/>
      <c r="R28" s="1"/>
      <c r="S28" s="1"/>
      <c r="T28" s="1"/>
    </row>
    <row r="29" spans="1:23" ht="18" x14ac:dyDescent="0.35">
      <c r="B29" s="24" t="s">
        <v>18</v>
      </c>
      <c r="C29" s="13">
        <f>NPV(C4,B17:B24)</f>
        <v>669025.5293205264</v>
      </c>
      <c r="D29" s="24"/>
      <c r="E29" s="24"/>
      <c r="F29" s="24"/>
      <c r="I29" s="24" t="s">
        <v>18</v>
      </c>
      <c r="J29" s="13">
        <f>NPV(J4,I17:I26)</f>
        <v>481324.32758692559</v>
      </c>
      <c r="K29" s="24"/>
      <c r="L29" s="24"/>
      <c r="M29" s="24"/>
      <c r="P29" s="24" t="s">
        <v>18</v>
      </c>
      <c r="Q29" s="29">
        <f>NPV(Q4,P17:P26)</f>
        <v>504365.0273683141</v>
      </c>
      <c r="R29" s="11"/>
      <c r="S29" s="11"/>
      <c r="T29" s="11"/>
      <c r="U29" s="20"/>
      <c r="V29" s="19"/>
    </row>
    <row r="30" spans="1:23" ht="18" x14ac:dyDescent="0.35">
      <c r="B30" s="24" t="s">
        <v>19</v>
      </c>
      <c r="C30" s="13">
        <f>C13</f>
        <v>50000</v>
      </c>
      <c r="I30" s="24" t="s">
        <v>20</v>
      </c>
      <c r="J30" s="13">
        <f>(I27)/(J4-J10)</f>
        <v>1182692.3076923077</v>
      </c>
      <c r="P30" s="24" t="s">
        <v>21</v>
      </c>
      <c r="Q30" s="29">
        <f>P27*Q13</f>
        <v>1739540.1273193355</v>
      </c>
      <c r="U30" s="24"/>
      <c r="V30" s="1"/>
    </row>
    <row r="31" spans="1:23" ht="18" x14ac:dyDescent="0.35">
      <c r="B31" s="24" t="s">
        <v>22</v>
      </c>
      <c r="C31" s="13">
        <f>C30/((1+C4)^A20)</f>
        <v>35421.260553259825</v>
      </c>
      <c r="I31" s="24" t="s">
        <v>22</v>
      </c>
      <c r="J31" s="13">
        <f>J30/((1+J4)^H26)</f>
        <v>499582.01200163213</v>
      </c>
      <c r="P31" s="24" t="s">
        <v>22</v>
      </c>
      <c r="Q31" s="29">
        <f>Q30/((1+Q4)^O26)</f>
        <v>734800.54880838993</v>
      </c>
      <c r="U31" s="24"/>
      <c r="V31" s="19"/>
    </row>
    <row r="32" spans="1:23" ht="18" x14ac:dyDescent="0.35">
      <c r="B32" s="24" t="s">
        <v>23</v>
      </c>
      <c r="C32" s="13">
        <f>C29+C31</f>
        <v>704446.78987378627</v>
      </c>
      <c r="I32" s="24" t="s">
        <v>23</v>
      </c>
      <c r="J32" s="13">
        <f>J29+J31</f>
        <v>980906.33958855772</v>
      </c>
      <c r="P32" s="24" t="s">
        <v>23</v>
      </c>
      <c r="Q32" s="29">
        <f>Q29+Q31</f>
        <v>1239165.5761767039</v>
      </c>
      <c r="U32" s="24"/>
      <c r="V32" s="21"/>
    </row>
    <row r="33" spans="1:20" x14ac:dyDescent="0.25">
      <c r="B33" s="3"/>
      <c r="C33" s="29"/>
      <c r="I33" s="3"/>
      <c r="J33" s="29"/>
      <c r="P33" s="3"/>
      <c r="Q33" s="29"/>
    </row>
    <row r="34" spans="1:20" x14ac:dyDescent="0.25">
      <c r="B34" s="24" t="s">
        <v>24</v>
      </c>
      <c r="C34" s="29">
        <f>C32-C12</f>
        <v>204446.78987378627</v>
      </c>
      <c r="I34" s="24" t="s">
        <v>24</v>
      </c>
      <c r="J34" s="29">
        <f>J32-J12</f>
        <v>480906.33958855772</v>
      </c>
      <c r="P34" s="24" t="s">
        <v>24</v>
      </c>
      <c r="Q34" s="29">
        <f>Q32-Q12</f>
        <v>739165.57617670391</v>
      </c>
      <c r="R34" s="4"/>
      <c r="S34" s="4"/>
      <c r="T34" s="4"/>
    </row>
    <row r="35" spans="1:20" x14ac:dyDescent="0.25">
      <c r="B35" s="24" t="s">
        <v>25</v>
      </c>
      <c r="C35" s="12">
        <f>IRR(B42:B50)</f>
        <v>0.16865243335821334</v>
      </c>
      <c r="I35" s="24" t="s">
        <v>25</v>
      </c>
      <c r="J35" s="12">
        <f>IRR(I42:I52)</f>
        <v>0.20206470451346381</v>
      </c>
      <c r="P35" s="24" t="s">
        <v>25</v>
      </c>
      <c r="Q35" s="22">
        <f>IRR(P42:P52)</f>
        <v>0.20916580386589056</v>
      </c>
    </row>
    <row r="36" spans="1:20" x14ac:dyDescent="0.25">
      <c r="B36" s="24" t="s">
        <v>26</v>
      </c>
      <c r="C36" s="12">
        <f>MIRR(B42:B50,C4,C4)</f>
        <v>0.13562377635907197</v>
      </c>
      <c r="I36" s="24" t="s">
        <v>26</v>
      </c>
      <c r="J36" s="12">
        <f>MIRR(I42:I52,J4,J4)</f>
        <v>0.16598308907511994</v>
      </c>
      <c r="P36" s="24" t="s">
        <v>26</v>
      </c>
      <c r="Q36" s="12">
        <f>MIRR(P42:P52,Q4,Q4)</f>
        <v>0.19355498648807967</v>
      </c>
    </row>
    <row r="37" spans="1:20" x14ac:dyDescent="0.25">
      <c r="B37" s="24" t="s">
        <v>27</v>
      </c>
      <c r="C37" s="13">
        <f>IF(E$17&gt;0,A$17, IF(E$18&gt;0,A$18,IF(E$19&gt;0,A$19, IF(E$20&gt;0,A$20,IF(E$21&gt;0,A$21,IF(E$22&gt;0,A$22,IF(E$23&gt;0,A$23,IF(E$24&gt;0,A$24,IF(E$25&gt;0,A$25,IF(E$26&gt;0,A$26))))))))))</f>
        <v>5</v>
      </c>
      <c r="I37" s="24" t="s">
        <v>27</v>
      </c>
      <c r="J37" s="13">
        <f>IF(L17&gt;0,H17, IF(L18&gt;0,H18,IF(L19&gt;0,H19, IF(L20&gt;0,H20,IF(L21&gt;0,H21,IF(L22&gt;0,H22,IF(L23&gt;0,H23,IF(L24&gt;0,H24,IF(L25&gt;0,H25,IF(L26&gt;0,H26))))))))))</f>
        <v>7</v>
      </c>
      <c r="P37" s="24" t="s">
        <v>27</v>
      </c>
      <c r="Q37" s="13">
        <f>IF(S17&gt;0,O17, IF(S18&gt;0,O18,IF(S19&gt;0,O19, IF(S20&gt;0,O20,IF(S21&gt;0,O21,IF(S22&gt;0,O22,IF(S23&gt;0,O23,IF(S24&gt;0,O24,IF(S25&gt;0,O25,IF(S26&gt;0,O26))))))))))</f>
        <v>8</v>
      </c>
    </row>
    <row r="38" spans="1:20" ht="30" x14ac:dyDescent="0.25">
      <c r="B38" s="9" t="s">
        <v>17</v>
      </c>
      <c r="C38" s="13">
        <f>IF(F$17&gt;0,A$17, IF(F$18&gt;0,A$18,IF(F$19&gt;0,A$19, IF(F$20&gt;0,A$20,IF(F$21&gt;0,A$21,IF(F$22&gt;0,A$22,IF(F$23&gt;0,A$23,IF(F$24&gt;0,A$24,IF(F$25&gt;0,A$25,IF(F$26&gt;0,A$26))))))))))</f>
        <v>7</v>
      </c>
      <c r="I38" s="9" t="s">
        <v>17</v>
      </c>
      <c r="J38" s="13" t="b">
        <f>IF(M$17&gt;0,H$17, IF(M$18&gt;0,H$18,IF(M$19&gt;0,H$19, IF(M$20&gt;0,H$20,IF(M$21&gt;0,H$21,IF(M$22&gt;0,H$22,IF(M$23&gt;0,H$23,IF(M$24&gt;0,H$24,IF(M$25&gt;0,H$25,IF(M$26&gt;0,H$26))))))))))</f>
        <v>0</v>
      </c>
      <c r="P38" s="9" t="s">
        <v>17</v>
      </c>
      <c r="Q38" s="13">
        <f>IF(T$17&gt;0,O$17, IF(T$18&gt;0,O$18,IF(T$19&gt;0,O$19, IF(T$20&gt;0,O$20,IF(T$21&gt;0,O$21,IF(T$22&gt;0,O$22,IF(T$23&gt;0,O$23,IF(T$24&gt;0,O$24,IF(T$25&gt;0,O$25,IF(T$26&gt;0,O$26))))))))))</f>
        <v>10</v>
      </c>
    </row>
    <row r="39" spans="1:20" x14ac:dyDescent="0.25">
      <c r="B39" s="24" t="s">
        <v>28</v>
      </c>
      <c r="C39" s="27">
        <f>C32/C12</f>
        <v>1.4088935797475726</v>
      </c>
      <c r="I39" s="24" t="s">
        <v>28</v>
      </c>
      <c r="J39" s="27">
        <f>J32/J12</f>
        <v>1.9618126791771155</v>
      </c>
      <c r="P39" s="24" t="s">
        <v>28</v>
      </c>
      <c r="Q39" s="27">
        <f>Q32/Q12</f>
        <v>2.478331152353408</v>
      </c>
    </row>
    <row r="40" spans="1:20" x14ac:dyDescent="0.25">
      <c r="B40" s="24"/>
      <c r="P40" s="6"/>
      <c r="Q40" s="7"/>
    </row>
    <row r="41" spans="1:20" x14ac:dyDescent="0.25">
      <c r="B41" s="35" t="s">
        <v>29</v>
      </c>
      <c r="C41" s="35"/>
      <c r="D41" s="35"/>
      <c r="E41" s="24"/>
      <c r="F41" s="24"/>
      <c r="I41" s="35" t="s">
        <v>29</v>
      </c>
      <c r="J41" s="35"/>
      <c r="K41" s="35"/>
      <c r="L41" s="24"/>
      <c r="M41" s="24"/>
      <c r="P41" s="35" t="s">
        <v>29</v>
      </c>
      <c r="Q41" s="35"/>
      <c r="R41" s="35"/>
      <c r="S41" s="24"/>
      <c r="T41" s="24"/>
    </row>
    <row r="42" spans="1:20" x14ac:dyDescent="0.25">
      <c r="A42">
        <v>0</v>
      </c>
      <c r="B42" s="29">
        <f>-C12</f>
        <v>-500000</v>
      </c>
      <c r="H42">
        <v>0</v>
      </c>
      <c r="I42" s="29">
        <f>-J12</f>
        <v>-500000</v>
      </c>
      <c r="O42">
        <v>0</v>
      </c>
      <c r="P42" s="29">
        <f>-Q12</f>
        <v>-500000</v>
      </c>
    </row>
    <row r="43" spans="1:20" x14ac:dyDescent="0.25">
      <c r="A43">
        <f>A42+1</f>
        <v>1</v>
      </c>
      <c r="B43" s="29">
        <f>B17</f>
        <v>75000</v>
      </c>
      <c r="H43">
        <f>H42+1</f>
        <v>1</v>
      </c>
      <c r="I43" s="29">
        <f t="shared" ref="I43:I51" si="34">I17</f>
        <v>75000</v>
      </c>
      <c r="O43">
        <f>O42+1</f>
        <v>1</v>
      </c>
      <c r="P43" s="29">
        <f t="shared" ref="P43:P51" si="35">P17</f>
        <v>0</v>
      </c>
    </row>
    <row r="44" spans="1:20" x14ac:dyDescent="0.25">
      <c r="A44">
        <f>A43+1</f>
        <v>2</v>
      </c>
      <c r="B44" s="29">
        <f>B18</f>
        <v>86250</v>
      </c>
      <c r="H44">
        <f>H43+1</f>
        <v>2</v>
      </c>
      <c r="I44" s="29">
        <f t="shared" si="34"/>
        <v>75000</v>
      </c>
      <c r="O44">
        <f>O43+1</f>
        <v>2</v>
      </c>
      <c r="P44" s="29">
        <f t="shared" si="35"/>
        <v>0</v>
      </c>
    </row>
    <row r="45" spans="1:20" x14ac:dyDescent="0.25">
      <c r="A45">
        <f t="shared" ref="A45:A52" si="36">A44+1</f>
        <v>3</v>
      </c>
      <c r="B45" s="29">
        <f>B19</f>
        <v>99187.499999999985</v>
      </c>
      <c r="H45">
        <f t="shared" ref="H45:H52" si="37">H44+1</f>
        <v>3</v>
      </c>
      <c r="I45" s="29">
        <f t="shared" si="34"/>
        <v>75000</v>
      </c>
      <c r="O45">
        <f t="shared" ref="O45:O52" si="38">O44+1</f>
        <v>3</v>
      </c>
      <c r="P45" s="29">
        <f t="shared" si="35"/>
        <v>0</v>
      </c>
    </row>
    <row r="46" spans="1:20" x14ac:dyDescent="0.25">
      <c r="A46">
        <f t="shared" si="36"/>
        <v>4</v>
      </c>
      <c r="B46" s="29">
        <f t="shared" ref="B46:B49" si="39">B20</f>
        <v>114065.62499999997</v>
      </c>
      <c r="H46">
        <f t="shared" si="37"/>
        <v>4</v>
      </c>
      <c r="I46" s="29">
        <f t="shared" si="34"/>
        <v>75000</v>
      </c>
      <c r="O46">
        <f t="shared" si="38"/>
        <v>4</v>
      </c>
      <c r="P46" s="29">
        <f t="shared" si="35"/>
        <v>0</v>
      </c>
    </row>
    <row r="47" spans="1:20" x14ac:dyDescent="0.25">
      <c r="A47">
        <f t="shared" si="36"/>
        <v>5</v>
      </c>
      <c r="B47" s="29">
        <f t="shared" si="39"/>
        <v>131175.46874999997</v>
      </c>
      <c r="H47">
        <f t="shared" si="37"/>
        <v>5</v>
      </c>
      <c r="I47" s="29">
        <f t="shared" si="34"/>
        <v>75000</v>
      </c>
      <c r="O47">
        <f t="shared" si="38"/>
        <v>5</v>
      </c>
      <c r="P47" s="29">
        <f t="shared" si="35"/>
        <v>150000</v>
      </c>
    </row>
    <row r="48" spans="1:20" x14ac:dyDescent="0.25">
      <c r="A48">
        <f t="shared" si="36"/>
        <v>6</v>
      </c>
      <c r="B48" s="29">
        <f t="shared" si="39"/>
        <v>150851.78906249994</v>
      </c>
      <c r="H48">
        <f t="shared" si="37"/>
        <v>6</v>
      </c>
      <c r="I48" s="29">
        <f t="shared" si="34"/>
        <v>75000</v>
      </c>
      <c r="O48">
        <f t="shared" si="38"/>
        <v>6</v>
      </c>
      <c r="P48" s="29">
        <f t="shared" si="35"/>
        <v>153750</v>
      </c>
    </row>
    <row r="49" spans="1:16" x14ac:dyDescent="0.25">
      <c r="A49">
        <f t="shared" si="36"/>
        <v>7</v>
      </c>
      <c r="B49" s="29">
        <f t="shared" si="39"/>
        <v>173479.55742187492</v>
      </c>
      <c r="H49">
        <f t="shared" si="37"/>
        <v>7</v>
      </c>
      <c r="I49" s="29">
        <f t="shared" si="34"/>
        <v>75000</v>
      </c>
      <c r="O49">
        <f t="shared" si="38"/>
        <v>7</v>
      </c>
      <c r="P49" s="29">
        <f t="shared" si="35"/>
        <v>157593.75</v>
      </c>
    </row>
    <row r="50" spans="1:16" x14ac:dyDescent="0.25">
      <c r="A50">
        <f t="shared" si="36"/>
        <v>8</v>
      </c>
      <c r="B50" s="29">
        <f>B24+C30</f>
        <v>249501.49103515616</v>
      </c>
      <c r="H50">
        <f t="shared" si="37"/>
        <v>8</v>
      </c>
      <c r="I50" s="29">
        <f t="shared" si="34"/>
        <v>75000</v>
      </c>
      <c r="O50">
        <f t="shared" si="38"/>
        <v>8</v>
      </c>
      <c r="P50" s="29">
        <f t="shared" si="35"/>
        <v>161533.59375</v>
      </c>
    </row>
    <row r="51" spans="1:16" x14ac:dyDescent="0.25">
      <c r="A51">
        <f t="shared" si="36"/>
        <v>9</v>
      </c>
      <c r="B51" s="1">
        <v>0</v>
      </c>
      <c r="H51">
        <f t="shared" si="37"/>
        <v>9</v>
      </c>
      <c r="I51" s="29">
        <f t="shared" si="34"/>
        <v>75000</v>
      </c>
      <c r="O51">
        <f t="shared" si="38"/>
        <v>9</v>
      </c>
      <c r="P51" s="29">
        <f t="shared" si="35"/>
        <v>165571.93359375</v>
      </c>
    </row>
    <row r="52" spans="1:16" x14ac:dyDescent="0.25">
      <c r="A52">
        <f t="shared" si="36"/>
        <v>10</v>
      </c>
      <c r="B52" s="1">
        <v>0</v>
      </c>
      <c r="H52">
        <f t="shared" si="37"/>
        <v>10</v>
      </c>
      <c r="I52" s="29">
        <f>I26+J30</f>
        <v>1257692.3076923077</v>
      </c>
      <c r="O52">
        <f t="shared" si="38"/>
        <v>10</v>
      </c>
      <c r="P52" s="29">
        <f>P26+Q30</f>
        <v>1909251.3592529292</v>
      </c>
    </row>
    <row r="53" spans="1:16" x14ac:dyDescent="0.25">
      <c r="P53" s="1"/>
    </row>
    <row r="54" spans="1:16" x14ac:dyDescent="0.25">
      <c r="B54" s="3"/>
      <c r="P54" s="1"/>
    </row>
    <row r="55" spans="1:16" x14ac:dyDescent="0.25">
      <c r="P55" s="1"/>
    </row>
    <row r="56" spans="1:16" x14ac:dyDescent="0.25">
      <c r="P56" s="1"/>
    </row>
    <row r="57" spans="1:16" x14ac:dyDescent="0.25">
      <c r="P57" s="1"/>
    </row>
    <row r="58" spans="1:16" x14ac:dyDescent="0.25">
      <c r="P58" s="1"/>
    </row>
    <row r="59" spans="1:16" x14ac:dyDescent="0.25">
      <c r="P59" s="1"/>
    </row>
    <row r="60" spans="1:16" x14ac:dyDescent="0.25">
      <c r="P60" s="1"/>
    </row>
    <row r="61" spans="1:16" x14ac:dyDescent="0.25">
      <c r="P61" s="1"/>
    </row>
    <row r="62" spans="1:16" x14ac:dyDescent="0.25">
      <c r="P62" s="1"/>
    </row>
  </sheetData>
  <mergeCells count="8">
    <mergeCell ref="A3:D3"/>
    <mergeCell ref="H3:K3"/>
    <mergeCell ref="O3:R3"/>
    <mergeCell ref="A1:R1"/>
    <mergeCell ref="B41:D41"/>
    <mergeCell ref="I41:K41"/>
    <mergeCell ref="P41:R41"/>
    <mergeCell ref="H13:I13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</vt:lpstr>
      <vt:lpstr>Scored</vt:lpstr>
    </vt:vector>
  </TitlesOfParts>
  <Manager/>
  <Company>Westminster College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>Rick Haskell</cp:lastModifiedBy>
  <cp:revision/>
  <cp:lastPrinted>2018-06-12T20:31:10Z</cp:lastPrinted>
  <dcterms:created xsi:type="dcterms:W3CDTF">2015-10-21T15:49:29Z</dcterms:created>
  <dcterms:modified xsi:type="dcterms:W3CDTF">2018-06-12T20:35:15Z</dcterms:modified>
  <cp:category/>
  <cp:contentStatus/>
</cp:coreProperties>
</file>