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wcedu-my.sharepoint.com/personal/rhaskell_westminstercollege_edu/Documents/EXCEL TEMPLATES/"/>
    </mc:Choice>
  </mc:AlternateContent>
  <bookViews>
    <workbookView xWindow="0" yWindow="0" windowWidth="28800" windowHeight="12300" activeTab="6"/>
  </bookViews>
  <sheets>
    <sheet name="Fin Stmt" sheetId="9" r:id="rId1"/>
    <sheet name="WACC - Book Val" sheetId="1" r:id="rId2"/>
    <sheet name="WACC - Quasi Mkt Val" sheetId="12" r:id="rId3"/>
    <sheet name="WACC - Mkt Val" sheetId="11" r:id="rId4"/>
    <sheet name="Hurdle Rate" sheetId="13" r:id="rId5"/>
    <sheet name="Pre 2018 Tax" sheetId="14" r:id="rId6"/>
    <sheet name="2018  Tax Act" sheetId="1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5" l="1"/>
  <c r="D18" i="15"/>
  <c r="D17" i="15"/>
  <c r="D16" i="15"/>
  <c r="D15" i="15"/>
  <c r="D14" i="15"/>
  <c r="D13" i="15"/>
  <c r="D12" i="15"/>
  <c r="D11" i="15"/>
  <c r="E11" i="15" s="1"/>
  <c r="E12" i="15" s="1"/>
  <c r="E13" i="15" s="1"/>
  <c r="E14" i="15" s="1"/>
  <c r="E15" i="15" s="1"/>
  <c r="E16" i="15" s="1"/>
  <c r="E17" i="15" s="1"/>
  <c r="E18" i="15" s="1"/>
  <c r="E22" i="15" s="1"/>
  <c r="D5" i="15" s="1"/>
  <c r="E5" i="15" s="1"/>
  <c r="E20" i="14"/>
  <c r="D18" i="14"/>
  <c r="D17" i="14"/>
  <c r="D16" i="14"/>
  <c r="D15" i="14"/>
  <c r="D14" i="14"/>
  <c r="D13" i="14"/>
  <c r="D12" i="14"/>
  <c r="D11" i="14"/>
  <c r="E11" i="14" s="1"/>
  <c r="E12" i="14" s="1"/>
  <c r="E13" i="14" s="1"/>
  <c r="E14" i="14" s="1"/>
  <c r="E15" i="14" s="1"/>
  <c r="E16" i="14" s="1"/>
  <c r="E17" i="14" s="1"/>
  <c r="E18" i="14" s="1"/>
  <c r="E22" i="14" s="1"/>
  <c r="D5" i="14" s="1"/>
  <c r="E5" i="14" s="1"/>
  <c r="T18" i="9" l="1"/>
  <c r="S18" i="9"/>
  <c r="K50" i="9" l="1"/>
  <c r="M10" i="11"/>
  <c r="O62" i="9"/>
  <c r="O61" i="9"/>
  <c r="O63" i="9" s="1"/>
  <c r="O67" i="9" s="1"/>
  <c r="O60" i="9"/>
  <c r="T10" i="12"/>
  <c r="T10" i="11"/>
  <c r="T10" i="1"/>
  <c r="S10" i="12"/>
  <c r="S10" i="11"/>
  <c r="S10" i="1"/>
  <c r="R10" i="12"/>
  <c r="R10" i="11"/>
  <c r="R10" i="1"/>
  <c r="J37" i="9"/>
  <c r="B28" i="13" l="1"/>
  <c r="N27" i="13"/>
  <c r="R27" i="13" s="1"/>
  <c r="A19" i="13"/>
  <c r="A20" i="13" s="1"/>
  <c r="A21" i="13" s="1"/>
  <c r="A22" i="13" s="1"/>
  <c r="B18" i="13"/>
  <c r="B29" i="13" s="1"/>
  <c r="I14" i="13"/>
  <c r="G14" i="13"/>
  <c r="F14" i="13"/>
  <c r="E14" i="13"/>
  <c r="B28" i="12"/>
  <c r="N27" i="12"/>
  <c r="R27" i="12" s="1"/>
  <c r="A19" i="12"/>
  <c r="A20" i="12" s="1"/>
  <c r="A21" i="12" s="1"/>
  <c r="A22" i="12" s="1"/>
  <c r="B18" i="12"/>
  <c r="B19" i="12" s="1"/>
  <c r="I14" i="12"/>
  <c r="G14" i="12"/>
  <c r="F14" i="12"/>
  <c r="E14" i="12"/>
  <c r="O10" i="12"/>
  <c r="N10" i="12"/>
  <c r="O6" i="12"/>
  <c r="B28" i="11"/>
  <c r="N27" i="11"/>
  <c r="R27" i="11" s="1"/>
  <c r="A19" i="11"/>
  <c r="A20" i="11" s="1"/>
  <c r="A21" i="11" s="1"/>
  <c r="A22" i="11" s="1"/>
  <c r="B18" i="11"/>
  <c r="B29" i="11" s="1"/>
  <c r="I14" i="11"/>
  <c r="G14" i="11"/>
  <c r="F14" i="11"/>
  <c r="E14" i="11"/>
  <c r="O10" i="11"/>
  <c r="N10" i="11"/>
  <c r="O10" i="1"/>
  <c r="N10" i="1"/>
  <c r="O6" i="1"/>
  <c r="N6" i="1"/>
  <c r="B19" i="13" l="1"/>
  <c r="B20" i="13" s="1"/>
  <c r="B21" i="13" s="1"/>
  <c r="B29" i="12"/>
  <c r="P10" i="12"/>
  <c r="B19" i="11"/>
  <c r="B20" i="12"/>
  <c r="B30" i="12"/>
  <c r="B30" i="13" l="1"/>
  <c r="B31" i="13"/>
  <c r="B20" i="11"/>
  <c r="B30" i="11"/>
  <c r="E32" i="13"/>
  <c r="E33" i="13"/>
  <c r="E29" i="13"/>
  <c r="E34" i="13"/>
  <c r="E30" i="13"/>
  <c r="E28" i="13"/>
  <c r="E31" i="13"/>
  <c r="H8" i="13"/>
  <c r="J8" i="13" s="1"/>
  <c r="B32" i="13"/>
  <c r="B22" i="13"/>
  <c r="B21" i="12"/>
  <c r="B31" i="12"/>
  <c r="B31" i="11" l="1"/>
  <c r="B21" i="11"/>
  <c r="B33" i="13"/>
  <c r="B23" i="13"/>
  <c r="B34" i="13" s="1"/>
  <c r="B32" i="12"/>
  <c r="B22" i="12"/>
  <c r="B22" i="11" l="1"/>
  <c r="B32" i="11"/>
  <c r="B33" i="12"/>
  <c r="B23" i="12"/>
  <c r="B34" i="12" s="1"/>
  <c r="B33" i="11" l="1"/>
  <c r="B23" i="11"/>
  <c r="B34" i="11" s="1"/>
  <c r="N27" i="1" l="1"/>
  <c r="R27" i="1" s="1"/>
  <c r="I14" i="1"/>
  <c r="G14" i="1"/>
  <c r="F14" i="1"/>
  <c r="E14" i="1"/>
  <c r="P62" i="9" l="1"/>
  <c r="P60" i="9"/>
  <c r="P58" i="9"/>
  <c r="P61" i="9" s="1"/>
  <c r="P63" i="9" l="1"/>
  <c r="P50" i="9"/>
  <c r="P49" i="9"/>
  <c r="K52" i="9"/>
  <c r="J52" i="9"/>
  <c r="P46" i="9"/>
  <c r="K51" i="9"/>
  <c r="J51" i="9"/>
  <c r="J50" i="9"/>
  <c r="E45" i="9"/>
  <c r="J39" i="9"/>
  <c r="K37" i="9"/>
  <c r="K39" i="9" s="1"/>
  <c r="J38" i="9"/>
  <c r="E36" i="9"/>
  <c r="D36" i="9"/>
  <c r="F31" i="9"/>
  <c r="E31" i="9"/>
  <c r="O69" i="9" s="1"/>
  <c r="K29" i="9"/>
  <c r="P45" i="9" s="1"/>
  <c r="J29" i="9"/>
  <c r="J33" i="9" s="1"/>
  <c r="O68" i="9" s="1"/>
  <c r="P25" i="9"/>
  <c r="O25" i="9"/>
  <c r="J21" i="9"/>
  <c r="P19" i="9"/>
  <c r="O19" i="9"/>
  <c r="E17" i="9"/>
  <c r="D17" i="9"/>
  <c r="S14" i="9" s="1"/>
  <c r="K15" i="9"/>
  <c r="J15" i="9"/>
  <c r="P12" i="9"/>
  <c r="O12" i="9"/>
  <c r="O21" i="9" s="1"/>
  <c r="S12" i="9" s="1"/>
  <c r="S13" i="9" s="1"/>
  <c r="E11" i="9"/>
  <c r="D11" i="9"/>
  <c r="K10" i="9"/>
  <c r="J10" i="9"/>
  <c r="J24" i="9" s="1"/>
  <c r="K6" i="9"/>
  <c r="J6" i="9"/>
  <c r="D37" i="9" l="1"/>
  <c r="J61" i="9" s="1"/>
  <c r="P48" i="9"/>
  <c r="P21" i="9"/>
  <c r="T12" i="9" s="1"/>
  <c r="T13" i="9" s="1"/>
  <c r="H14" i="12"/>
  <c r="H14" i="11"/>
  <c r="D14" i="11"/>
  <c r="H14" i="13"/>
  <c r="D14" i="13"/>
  <c r="D14" i="12"/>
  <c r="H14" i="1"/>
  <c r="D14" i="1"/>
  <c r="S15" i="9"/>
  <c r="J34" i="9"/>
  <c r="I5" i="11"/>
  <c r="I16" i="11" s="1"/>
  <c r="I5" i="13"/>
  <c r="I16" i="13" s="1"/>
  <c r="I5" i="12"/>
  <c r="I5" i="1"/>
  <c r="M10" i="1" s="1"/>
  <c r="J62" i="9"/>
  <c r="Q69" i="9"/>
  <c r="O6" i="11"/>
  <c r="P10" i="11" s="1"/>
  <c r="K49" i="9"/>
  <c r="S17" i="9"/>
  <c r="T14" i="9"/>
  <c r="M14" i="13"/>
  <c r="M18" i="13" s="1"/>
  <c r="M19" i="13" s="1"/>
  <c r="M20" i="13" s="1"/>
  <c r="M21" i="13" s="1"/>
  <c r="M22" i="13" s="1"/>
  <c r="M23" i="13" s="1"/>
  <c r="M14" i="12"/>
  <c r="M18" i="12" s="1"/>
  <c r="M19" i="12" s="1"/>
  <c r="M20" i="12" s="1"/>
  <c r="M21" i="12" s="1"/>
  <c r="M22" i="12" s="1"/>
  <c r="M23" i="12" s="1"/>
  <c r="M14" i="11"/>
  <c r="M18" i="11" s="1"/>
  <c r="M19" i="11" s="1"/>
  <c r="M20" i="11" s="1"/>
  <c r="M21" i="11" s="1"/>
  <c r="M22" i="11" s="1"/>
  <c r="M23" i="11" s="1"/>
  <c r="M14" i="1"/>
  <c r="T15" i="9"/>
  <c r="T16" i="9" s="1"/>
  <c r="L14" i="13"/>
  <c r="L18" i="13" s="1"/>
  <c r="L19" i="13" s="1"/>
  <c r="L20" i="13" s="1"/>
  <c r="L21" i="13" s="1"/>
  <c r="L22" i="13" s="1"/>
  <c r="L23" i="13" s="1"/>
  <c r="L14" i="12"/>
  <c r="L18" i="12" s="1"/>
  <c r="L19" i="12" s="1"/>
  <c r="L20" i="12" s="1"/>
  <c r="L21" i="12" s="1"/>
  <c r="L22" i="12" s="1"/>
  <c r="L23" i="12" s="1"/>
  <c r="L14" i="11"/>
  <c r="L18" i="11" s="1"/>
  <c r="L19" i="11" s="1"/>
  <c r="L20" i="11" s="1"/>
  <c r="L21" i="11" s="1"/>
  <c r="L22" i="11" s="1"/>
  <c r="L23" i="11" s="1"/>
  <c r="L14" i="1"/>
  <c r="K40" i="9"/>
  <c r="J5" i="13"/>
  <c r="J5" i="12"/>
  <c r="M6" i="12" s="1"/>
  <c r="C14" i="13"/>
  <c r="C14" i="11"/>
  <c r="C14" i="12"/>
  <c r="J5" i="11"/>
  <c r="J5" i="1"/>
  <c r="M6" i="1" s="1"/>
  <c r="C14" i="1"/>
  <c r="O70" i="9"/>
  <c r="P67" i="9" s="1"/>
  <c r="M6" i="11"/>
  <c r="Q67" i="9"/>
  <c r="P44" i="9"/>
  <c r="K38" i="9"/>
  <c r="E44" i="9"/>
  <c r="E43" i="9" s="1"/>
  <c r="E38" i="9"/>
  <c r="E40" i="9"/>
  <c r="K63" i="9"/>
  <c r="E24" i="9"/>
  <c r="O27" i="9"/>
  <c r="D39" i="9"/>
  <c r="D38" i="9"/>
  <c r="J63" i="9"/>
  <c r="D24" i="9"/>
  <c r="D52" i="9" s="1"/>
  <c r="O29" i="9"/>
  <c r="O37" i="9"/>
  <c r="J64" i="9" s="1"/>
  <c r="D47" i="9"/>
  <c r="P27" i="9"/>
  <c r="K34" i="9"/>
  <c r="J40" i="9"/>
  <c r="J53" i="9" s="1"/>
  <c r="J49" i="9"/>
  <c r="K33" i="9"/>
  <c r="E37" i="9"/>
  <c r="K61" i="9" s="1"/>
  <c r="D51" i="9"/>
  <c r="J45" i="9" l="1"/>
  <c r="P70" i="9"/>
  <c r="T17" i="9"/>
  <c r="T20" i="9" s="1"/>
  <c r="T19" i="9"/>
  <c r="T22" i="9" s="1"/>
  <c r="T21" i="9"/>
  <c r="T23" i="9"/>
  <c r="T24" i="9"/>
  <c r="K67" i="9"/>
  <c r="J14" i="12"/>
  <c r="J14" i="11"/>
  <c r="J14" i="13"/>
  <c r="D11" i="13" s="1"/>
  <c r="J14" i="1"/>
  <c r="P68" i="9"/>
  <c r="J43" i="9" s="1"/>
  <c r="D11" i="12"/>
  <c r="D18" i="11"/>
  <c r="E16" i="11"/>
  <c r="G16" i="11"/>
  <c r="I11" i="11"/>
  <c r="F16" i="11"/>
  <c r="D11" i="11"/>
  <c r="D18" i="12"/>
  <c r="I11" i="12"/>
  <c r="G16" i="12"/>
  <c r="F16" i="12"/>
  <c r="E16" i="12"/>
  <c r="Q70" i="9"/>
  <c r="R69" i="9" s="1"/>
  <c r="K44" i="9" s="1"/>
  <c r="Q68" i="9"/>
  <c r="N6" i="12"/>
  <c r="P6" i="12" s="1"/>
  <c r="N6" i="11"/>
  <c r="P6" i="11" s="1"/>
  <c r="M8" i="11" s="1"/>
  <c r="M10" i="12"/>
  <c r="I16" i="12"/>
  <c r="D18" i="13"/>
  <c r="G16" i="13"/>
  <c r="E16" i="13"/>
  <c r="I11" i="13"/>
  <c r="F16" i="13"/>
  <c r="P69" i="9"/>
  <c r="J44" i="9" s="1"/>
  <c r="R68" i="9"/>
  <c r="K43" i="9" s="1"/>
  <c r="R67" i="9"/>
  <c r="E47" i="9"/>
  <c r="E41" i="9"/>
  <c r="E46" i="9"/>
  <c r="E39" i="9"/>
  <c r="D50" i="9"/>
  <c r="D53" i="9" s="1"/>
  <c r="D48" i="9"/>
  <c r="J32" i="9"/>
  <c r="J65" i="9"/>
  <c r="O34" i="9"/>
  <c r="D56" i="9" s="1"/>
  <c r="D55" i="9"/>
  <c r="D54" i="9"/>
  <c r="D49" i="9"/>
  <c r="E51" i="9"/>
  <c r="P37" i="9"/>
  <c r="P29" i="9"/>
  <c r="N8" i="12" l="1"/>
  <c r="O8" i="12"/>
  <c r="M8" i="12"/>
  <c r="C18" i="13"/>
  <c r="I18" i="13" s="1"/>
  <c r="R70" i="9"/>
  <c r="K45" i="9"/>
  <c r="G18" i="13"/>
  <c r="G18" i="12"/>
  <c r="G19" i="12"/>
  <c r="F18" i="11"/>
  <c r="E18" i="11"/>
  <c r="H18" i="11" s="1"/>
  <c r="K54" i="9"/>
  <c r="C28" i="13"/>
  <c r="J18" i="13"/>
  <c r="F18" i="13"/>
  <c r="D7" i="12"/>
  <c r="D7" i="11"/>
  <c r="D7" i="13"/>
  <c r="D7" i="1"/>
  <c r="D57" i="9"/>
  <c r="E18" i="12"/>
  <c r="E19" i="12"/>
  <c r="D19" i="12"/>
  <c r="C18" i="12"/>
  <c r="I18" i="12" s="1"/>
  <c r="Y29" i="12" s="1"/>
  <c r="J18" i="11"/>
  <c r="C28" i="11"/>
  <c r="H37" i="11" s="1"/>
  <c r="D19" i="13"/>
  <c r="D19" i="11"/>
  <c r="E18" i="13"/>
  <c r="K18" i="13" s="1"/>
  <c r="E19" i="13"/>
  <c r="F18" i="12"/>
  <c r="K18" i="12" s="1"/>
  <c r="F19" i="12"/>
  <c r="C19" i="11"/>
  <c r="I19" i="11" s="1"/>
  <c r="Y30" i="11" s="1"/>
  <c r="C18" i="11"/>
  <c r="I18" i="11" s="1"/>
  <c r="Y29" i="11" s="1"/>
  <c r="G18" i="11"/>
  <c r="K18" i="11" s="1"/>
  <c r="G19" i="11"/>
  <c r="J54" i="9"/>
  <c r="C28" i="12"/>
  <c r="H37" i="12" s="1"/>
  <c r="J18" i="12"/>
  <c r="K53" i="9"/>
  <c r="K69" i="9"/>
  <c r="K68" i="9"/>
  <c r="N8" i="11"/>
  <c r="O8" i="11"/>
  <c r="E42" i="9"/>
  <c r="O72" i="9"/>
  <c r="D58" i="9"/>
  <c r="P34" i="9"/>
  <c r="E55" i="9"/>
  <c r="E50" i="9"/>
  <c r="E48" i="9"/>
  <c r="K32" i="9"/>
  <c r="N18" i="11" l="1"/>
  <c r="O18" i="11"/>
  <c r="D29" i="11" s="1"/>
  <c r="N18" i="12"/>
  <c r="O18" i="12"/>
  <c r="D29" i="12" s="1"/>
  <c r="N18" i="13"/>
  <c r="O18" i="13"/>
  <c r="D29" i="13" s="1"/>
  <c r="D20" i="13"/>
  <c r="F19" i="13"/>
  <c r="K19" i="13" s="1"/>
  <c r="Y29" i="13"/>
  <c r="Z29" i="13" s="1"/>
  <c r="AA29" i="13" s="1"/>
  <c r="C29" i="12"/>
  <c r="J19" i="12"/>
  <c r="D20" i="11"/>
  <c r="H18" i="12"/>
  <c r="Y28" i="13"/>
  <c r="K14" i="13"/>
  <c r="E19" i="11"/>
  <c r="H19" i="11" s="1"/>
  <c r="S6" i="12"/>
  <c r="D8" i="12" s="1"/>
  <c r="C29" i="11"/>
  <c r="J19" i="11"/>
  <c r="Y28" i="11"/>
  <c r="K14" i="11"/>
  <c r="J19" i="13"/>
  <c r="C29" i="13"/>
  <c r="H18" i="13"/>
  <c r="C19" i="12"/>
  <c r="I19" i="12" s="1"/>
  <c r="Y30" i="12" s="1"/>
  <c r="D20" i="12"/>
  <c r="H19" i="12"/>
  <c r="K19" i="12"/>
  <c r="Y28" i="12"/>
  <c r="K14" i="12"/>
  <c r="H37" i="13"/>
  <c r="F19" i="11"/>
  <c r="G19" i="13"/>
  <c r="H19" i="13" s="1"/>
  <c r="C19" i="13"/>
  <c r="I19" i="13" s="1"/>
  <c r="Y30" i="13" s="1"/>
  <c r="Z30" i="13" s="1"/>
  <c r="AA30" i="13" s="1"/>
  <c r="S6" i="11"/>
  <c r="D8" i="11" s="1"/>
  <c r="E29" i="11" s="1"/>
  <c r="F29" i="11" s="1"/>
  <c r="G29" i="11" s="1"/>
  <c r="H29" i="11" s="1"/>
  <c r="E56" i="9"/>
  <c r="E57" i="9" s="1"/>
  <c r="K20" i="9"/>
  <c r="N19" i="13" l="1"/>
  <c r="O19" i="13"/>
  <c r="D30" i="13" s="1"/>
  <c r="O14" i="12"/>
  <c r="D28" i="12" s="1"/>
  <c r="N14" i="12"/>
  <c r="D21" i="12"/>
  <c r="E20" i="12"/>
  <c r="H20" i="12" s="1"/>
  <c r="F20" i="12"/>
  <c r="G20" i="12"/>
  <c r="C30" i="13"/>
  <c r="J20" i="13"/>
  <c r="C20" i="13"/>
  <c r="I20" i="13" s="1"/>
  <c r="Y31" i="13" s="1"/>
  <c r="Z31" i="13" s="1"/>
  <c r="D21" i="11"/>
  <c r="H20" i="11"/>
  <c r="G20" i="11"/>
  <c r="F20" i="11"/>
  <c r="E20" i="11"/>
  <c r="K20" i="11" s="1"/>
  <c r="D21" i="13"/>
  <c r="F20" i="13"/>
  <c r="G20" i="13"/>
  <c r="E20" i="13"/>
  <c r="H20" i="13" s="1"/>
  <c r="J29" i="12"/>
  <c r="V29" i="12"/>
  <c r="W29" i="12"/>
  <c r="X29" i="12" s="1"/>
  <c r="N14" i="11"/>
  <c r="O14" i="11"/>
  <c r="D28" i="11" s="1"/>
  <c r="E32" i="12"/>
  <c r="E30" i="12"/>
  <c r="E33" i="12"/>
  <c r="E28" i="12"/>
  <c r="F28" i="12" s="1"/>
  <c r="E31" i="12"/>
  <c r="E29" i="12"/>
  <c r="F29" i="12" s="1"/>
  <c r="G29" i="12" s="1"/>
  <c r="H29" i="12" s="1"/>
  <c r="H8" i="12"/>
  <c r="J8" i="12" s="1"/>
  <c r="E34" i="12"/>
  <c r="C30" i="12"/>
  <c r="J20" i="12"/>
  <c r="C20" i="12"/>
  <c r="I20" i="12" s="1"/>
  <c r="Y31" i="12" s="1"/>
  <c r="Z31" i="12" s="1"/>
  <c r="F29" i="13"/>
  <c r="G29" i="13" s="1"/>
  <c r="H29" i="13" s="1"/>
  <c r="O19" i="12"/>
  <c r="D30" i="12" s="1"/>
  <c r="N19" i="12"/>
  <c r="K19" i="11"/>
  <c r="J29" i="13"/>
  <c r="V29" i="13"/>
  <c r="W29" i="13"/>
  <c r="X29" i="13" s="1"/>
  <c r="AA31" i="13"/>
  <c r="C20" i="11"/>
  <c r="I20" i="11" s="1"/>
  <c r="Y31" i="11" s="1"/>
  <c r="J20" i="11"/>
  <c r="C30" i="11"/>
  <c r="O14" i="13"/>
  <c r="D28" i="13" s="1"/>
  <c r="F28" i="13" s="1"/>
  <c r="N14" i="13"/>
  <c r="V29" i="11"/>
  <c r="J29" i="11"/>
  <c r="N29" i="11" s="1"/>
  <c r="R29" i="11" s="1"/>
  <c r="E33" i="11"/>
  <c r="E34" i="11"/>
  <c r="E28" i="11"/>
  <c r="F28" i="11" s="1"/>
  <c r="E31" i="11"/>
  <c r="E30" i="11"/>
  <c r="E32" i="11"/>
  <c r="K29" i="11"/>
  <c r="L29" i="11" s="1"/>
  <c r="H8" i="11"/>
  <c r="K21" i="9"/>
  <c r="K62" i="9" s="1"/>
  <c r="N20" i="11" l="1"/>
  <c r="O20" i="11"/>
  <c r="D31" i="11" s="1"/>
  <c r="J21" i="11"/>
  <c r="C31" i="11"/>
  <c r="C21" i="11"/>
  <c r="I21" i="11" s="1"/>
  <c r="Y32" i="11" s="1"/>
  <c r="D22" i="13"/>
  <c r="E21" i="13"/>
  <c r="F21" i="13"/>
  <c r="H21" i="13" s="1"/>
  <c r="G21" i="13"/>
  <c r="C31" i="13"/>
  <c r="J21" i="13"/>
  <c r="C21" i="13"/>
  <c r="I21" i="13" s="1"/>
  <c r="Y32" i="13" s="1"/>
  <c r="Z32" i="13" s="1"/>
  <c r="AA32" i="13" s="1"/>
  <c r="J28" i="12"/>
  <c r="N28" i="12" s="1"/>
  <c r="R28" i="12" s="1"/>
  <c r="V28" i="12"/>
  <c r="J28" i="13"/>
  <c r="N28" i="13" s="1"/>
  <c r="R28" i="13" s="1"/>
  <c r="V28" i="13"/>
  <c r="N29" i="13"/>
  <c r="R29" i="13" s="1"/>
  <c r="K29" i="13"/>
  <c r="K20" i="12"/>
  <c r="F31" i="11"/>
  <c r="G31" i="11" s="1"/>
  <c r="N19" i="11"/>
  <c r="O19" i="11"/>
  <c r="D30" i="11" s="1"/>
  <c r="Z29" i="12"/>
  <c r="AA29" i="12" s="1"/>
  <c r="V28" i="11"/>
  <c r="J28" i="11"/>
  <c r="N28" i="11" s="1"/>
  <c r="R28" i="11" s="1"/>
  <c r="N29" i="12"/>
  <c r="R29" i="12" s="1"/>
  <c r="K29" i="12"/>
  <c r="K20" i="13"/>
  <c r="D22" i="11"/>
  <c r="E21" i="11"/>
  <c r="K21" i="11" s="1"/>
  <c r="G21" i="11"/>
  <c r="F21" i="11"/>
  <c r="F30" i="13"/>
  <c r="G30" i="13" s="1"/>
  <c r="H30" i="13" s="1"/>
  <c r="W31" i="11"/>
  <c r="F30" i="11"/>
  <c r="G30" i="11" s="1"/>
  <c r="H30" i="11" s="1"/>
  <c r="V30" i="12"/>
  <c r="J30" i="12"/>
  <c r="W30" i="12"/>
  <c r="X30" i="12" s="1"/>
  <c r="C31" i="12"/>
  <c r="J21" i="12"/>
  <c r="C21" i="12"/>
  <c r="I21" i="12" s="1"/>
  <c r="Y32" i="12" s="1"/>
  <c r="Z32" i="12" s="1"/>
  <c r="H30" i="12"/>
  <c r="F30" i="12"/>
  <c r="G30" i="12" s="1"/>
  <c r="Z30" i="12"/>
  <c r="D22" i="12"/>
  <c r="G21" i="12"/>
  <c r="E21" i="12"/>
  <c r="K21" i="12" s="1"/>
  <c r="F21" i="12"/>
  <c r="W30" i="13"/>
  <c r="X30" i="13" s="1"/>
  <c r="V30" i="13"/>
  <c r="J30" i="13"/>
  <c r="W29" i="11"/>
  <c r="X29" i="11" s="1"/>
  <c r="J8" i="11"/>
  <c r="Z29" i="11" s="1"/>
  <c r="AA29" i="11" s="1"/>
  <c r="W30" i="11"/>
  <c r="H31" i="11"/>
  <c r="O29" i="11"/>
  <c r="S29" i="11" s="1"/>
  <c r="P29" i="11"/>
  <c r="T29" i="11" s="1"/>
  <c r="K24" i="9"/>
  <c r="E52" i="9"/>
  <c r="E53" i="9" s="1"/>
  <c r="E54" i="9"/>
  <c r="E49" i="9"/>
  <c r="E58" i="9" s="1"/>
  <c r="O21" i="12" l="1"/>
  <c r="D32" i="12" s="1"/>
  <c r="N21" i="12"/>
  <c r="O21" i="11"/>
  <c r="D32" i="11" s="1"/>
  <c r="N21" i="11"/>
  <c r="D23" i="12"/>
  <c r="G22" i="12"/>
  <c r="E22" i="12"/>
  <c r="H22" i="12" s="1"/>
  <c r="F22" i="12"/>
  <c r="H21" i="12"/>
  <c r="D23" i="11"/>
  <c r="G22" i="11"/>
  <c r="E22" i="11"/>
  <c r="K22" i="11" s="1"/>
  <c r="F22" i="11"/>
  <c r="K21" i="13"/>
  <c r="N30" i="13"/>
  <c r="R30" i="13" s="1"/>
  <c r="K30" i="13"/>
  <c r="O30" i="13" s="1"/>
  <c r="S30" i="13" s="1"/>
  <c r="N20" i="13"/>
  <c r="O20" i="13"/>
  <c r="D31" i="13" s="1"/>
  <c r="F31" i="13" s="1"/>
  <c r="G31" i="13" s="1"/>
  <c r="H31" i="13" s="1"/>
  <c r="V30" i="11"/>
  <c r="J30" i="11"/>
  <c r="N20" i="12"/>
  <c r="O20" i="12"/>
  <c r="D31" i="12" s="1"/>
  <c r="F31" i="12" s="1"/>
  <c r="G31" i="12" s="1"/>
  <c r="H31" i="12" s="1"/>
  <c r="D23" i="13"/>
  <c r="E22" i="13"/>
  <c r="K22" i="13" s="1"/>
  <c r="F22" i="13"/>
  <c r="G22" i="13"/>
  <c r="C32" i="11"/>
  <c r="J22" i="11"/>
  <c r="C22" i="11"/>
  <c r="I22" i="11" s="1"/>
  <c r="Y33" i="11" s="1"/>
  <c r="J22" i="12"/>
  <c r="C32" i="12"/>
  <c r="C22" i="12"/>
  <c r="I22" i="12" s="1"/>
  <c r="Y33" i="12" s="1"/>
  <c r="Z33" i="12" s="1"/>
  <c r="H21" i="11"/>
  <c r="L29" i="12"/>
  <c r="O29" i="12"/>
  <c r="S29" i="12" s="1"/>
  <c r="AA30" i="12"/>
  <c r="AA31" i="12" s="1"/>
  <c r="AA32" i="12" s="1"/>
  <c r="AA33" i="12" s="1"/>
  <c r="AA37" i="12" s="1"/>
  <c r="O29" i="13"/>
  <c r="S29" i="13" s="1"/>
  <c r="L29" i="13"/>
  <c r="J22" i="13"/>
  <c r="C32" i="13"/>
  <c r="C22" i="13"/>
  <c r="I22" i="13" s="1"/>
  <c r="Y33" i="13" s="1"/>
  <c r="Z33" i="13" s="1"/>
  <c r="AA33" i="13" s="1"/>
  <c r="AA37" i="13" s="1"/>
  <c r="N30" i="12"/>
  <c r="R30" i="12" s="1"/>
  <c r="K30" i="12"/>
  <c r="O30" i="12" s="1"/>
  <c r="S30" i="12" s="1"/>
  <c r="J31" i="11"/>
  <c r="V31" i="11"/>
  <c r="Z30" i="11"/>
  <c r="X30" i="11"/>
  <c r="X31" i="11" s="1"/>
  <c r="Z31" i="11"/>
  <c r="Z33" i="11"/>
  <c r="Z32" i="11"/>
  <c r="AA30" i="11"/>
  <c r="AA31" i="11" s="1"/>
  <c r="AA32" i="11" s="1"/>
  <c r="AA33" i="11" s="1"/>
  <c r="AA37" i="11" s="1"/>
  <c r="K64" i="9"/>
  <c r="K65" i="9"/>
  <c r="O22" i="11" l="1"/>
  <c r="D33" i="11" s="1"/>
  <c r="N22" i="11"/>
  <c r="O22" i="13"/>
  <c r="D33" i="13" s="1"/>
  <c r="N22" i="13"/>
  <c r="P29" i="13"/>
  <c r="T29" i="13" s="1"/>
  <c r="L30" i="13"/>
  <c r="L30" i="12"/>
  <c r="P29" i="12"/>
  <c r="T29" i="12" s="1"/>
  <c r="C33" i="12"/>
  <c r="J23" i="12"/>
  <c r="C34" i="12" s="1"/>
  <c r="C23" i="12"/>
  <c r="I23" i="12" s="1"/>
  <c r="Y34" i="12" s="1"/>
  <c r="H22" i="13"/>
  <c r="N30" i="11"/>
  <c r="R30" i="11" s="1"/>
  <c r="K30" i="11"/>
  <c r="F23" i="11"/>
  <c r="E23" i="11"/>
  <c r="H23" i="11" s="1"/>
  <c r="G23" i="11"/>
  <c r="K22" i="12"/>
  <c r="J32" i="11"/>
  <c r="V32" i="11"/>
  <c r="W32" i="11"/>
  <c r="X32" i="11" s="1"/>
  <c r="G23" i="13"/>
  <c r="E23" i="13"/>
  <c r="F23" i="13"/>
  <c r="H23" i="13" s="1"/>
  <c r="F23" i="12"/>
  <c r="G23" i="12"/>
  <c r="H23" i="12" s="1"/>
  <c r="E23" i="12"/>
  <c r="K23" i="12" s="1"/>
  <c r="C33" i="11"/>
  <c r="J23" i="11"/>
  <c r="C34" i="11" s="1"/>
  <c r="C23" i="11"/>
  <c r="I23" i="11" s="1"/>
  <c r="Y34" i="11" s="1"/>
  <c r="O21" i="13"/>
  <c r="D32" i="13" s="1"/>
  <c r="F32" i="13" s="1"/>
  <c r="G32" i="13" s="1"/>
  <c r="H32" i="13" s="1"/>
  <c r="N21" i="13"/>
  <c r="H22" i="11"/>
  <c r="W32" i="12"/>
  <c r="V32" i="12"/>
  <c r="J32" i="12"/>
  <c r="N31" i="11"/>
  <c r="R31" i="11" s="1"/>
  <c r="K31" i="11"/>
  <c r="O31" i="11" s="1"/>
  <c r="S31" i="11" s="1"/>
  <c r="C33" i="13"/>
  <c r="J23" i="13"/>
  <c r="C34" i="13" s="1"/>
  <c r="C23" i="13"/>
  <c r="I23" i="13" s="1"/>
  <c r="Y34" i="13" s="1"/>
  <c r="F32" i="11"/>
  <c r="G32" i="11" s="1"/>
  <c r="H32" i="11" s="1"/>
  <c r="V31" i="12"/>
  <c r="J31" i="12"/>
  <c r="W31" i="12"/>
  <c r="X31" i="12" s="1"/>
  <c r="V31" i="13"/>
  <c r="J31" i="13"/>
  <c r="W31" i="13"/>
  <c r="X31" i="13" s="1"/>
  <c r="F32" i="12"/>
  <c r="G32" i="12" s="1"/>
  <c r="H32" i="12" s="1"/>
  <c r="M18" i="1"/>
  <c r="O23" i="12" l="1"/>
  <c r="N23" i="12"/>
  <c r="AA38" i="13"/>
  <c r="D6" i="13"/>
  <c r="AA39" i="13" s="1"/>
  <c r="AA40" i="13" s="1"/>
  <c r="O30" i="11"/>
  <c r="S30" i="11" s="1"/>
  <c r="L30" i="11"/>
  <c r="P30" i="13"/>
  <c r="T30" i="13" s="1"/>
  <c r="V33" i="13"/>
  <c r="J33" i="13"/>
  <c r="W33" i="13"/>
  <c r="N31" i="12"/>
  <c r="R31" i="12" s="1"/>
  <c r="K31" i="12"/>
  <c r="O31" i="12" s="1"/>
  <c r="S31" i="12" s="1"/>
  <c r="X32" i="12"/>
  <c r="D6" i="11"/>
  <c r="AA38" i="11"/>
  <c r="AA39" i="11" s="1"/>
  <c r="AA40" i="11" s="1"/>
  <c r="K23" i="13"/>
  <c r="N32" i="11"/>
  <c r="R32" i="11" s="1"/>
  <c r="K32" i="11"/>
  <c r="O32" i="11" s="1"/>
  <c r="S32" i="11" s="1"/>
  <c r="F33" i="13"/>
  <c r="G33" i="13" s="1"/>
  <c r="H33" i="13" s="1"/>
  <c r="H38" i="13" s="1"/>
  <c r="N22" i="12"/>
  <c r="O22" i="12"/>
  <c r="D33" i="12" s="1"/>
  <c r="F33" i="12" s="1"/>
  <c r="G33" i="12" s="1"/>
  <c r="H33" i="12" s="1"/>
  <c r="H38" i="12" s="1"/>
  <c r="K23" i="11"/>
  <c r="V33" i="11"/>
  <c r="J33" i="11"/>
  <c r="W33" i="11"/>
  <c r="X33" i="11" s="1"/>
  <c r="X37" i="11" s="1"/>
  <c r="N31" i="13"/>
  <c r="R31" i="13" s="1"/>
  <c r="K31" i="13"/>
  <c r="O31" i="13" s="1"/>
  <c r="S31" i="13" s="1"/>
  <c r="H33" i="11"/>
  <c r="H38" i="11" s="1"/>
  <c r="K32" i="12"/>
  <c r="O32" i="12" s="1"/>
  <c r="S32" i="12" s="1"/>
  <c r="N32" i="12"/>
  <c r="R32" i="12" s="1"/>
  <c r="V32" i="13"/>
  <c r="W32" i="13"/>
  <c r="X32" i="13" s="1"/>
  <c r="J32" i="13"/>
  <c r="F33" i="11"/>
  <c r="G33" i="11" s="1"/>
  <c r="AA38" i="12"/>
  <c r="AA39" i="12" s="1"/>
  <c r="AA40" i="12" s="1"/>
  <c r="D6" i="12"/>
  <c r="P30" i="12"/>
  <c r="T30" i="12" s="1"/>
  <c r="L31" i="12"/>
  <c r="P10" i="1"/>
  <c r="L31" i="11" l="1"/>
  <c r="P30" i="11"/>
  <c r="T30" i="11" s="1"/>
  <c r="N32" i="13"/>
  <c r="R32" i="13" s="1"/>
  <c r="K32" i="13"/>
  <c r="O32" i="13" s="1"/>
  <c r="S32" i="13" s="1"/>
  <c r="V33" i="12"/>
  <c r="J33" i="12"/>
  <c r="W33" i="12"/>
  <c r="X33" i="12" s="1"/>
  <c r="X37" i="12" s="1"/>
  <c r="P31" i="12"/>
  <c r="T31" i="12" s="1"/>
  <c r="L32" i="12"/>
  <c r="X33" i="13"/>
  <c r="X37" i="13" s="1"/>
  <c r="L31" i="13"/>
  <c r="P38" i="12"/>
  <c r="P39" i="12" s="1"/>
  <c r="J34" i="12"/>
  <c r="V34" i="12"/>
  <c r="X38" i="12" s="1"/>
  <c r="X39" i="12" s="1"/>
  <c r="X40" i="12" s="1"/>
  <c r="X41" i="12" s="1"/>
  <c r="N33" i="11"/>
  <c r="R33" i="11" s="1"/>
  <c r="K33" i="11"/>
  <c r="O33" i="11" s="1"/>
  <c r="S33" i="11" s="1"/>
  <c r="O23" i="11"/>
  <c r="D34" i="11" s="1"/>
  <c r="N23" i="11"/>
  <c r="O23" i="13"/>
  <c r="D34" i="13" s="1"/>
  <c r="N23" i="13"/>
  <c r="T38" i="13"/>
  <c r="T39" i="13" s="1"/>
  <c r="K33" i="13"/>
  <c r="O33" i="13" s="1"/>
  <c r="S33" i="13" s="1"/>
  <c r="N33" i="13"/>
  <c r="R33" i="13" s="1"/>
  <c r="T38" i="12"/>
  <c r="T39" i="12" s="1"/>
  <c r="D34" i="12"/>
  <c r="Y28" i="1"/>
  <c r="N33" i="12" l="1"/>
  <c r="R33" i="12" s="1"/>
  <c r="K33" i="12"/>
  <c r="O33" i="12" s="1"/>
  <c r="S33" i="12" s="1"/>
  <c r="V34" i="11"/>
  <c r="X38" i="11" s="1"/>
  <c r="X39" i="11" s="1"/>
  <c r="X40" i="11" s="1"/>
  <c r="X41" i="11" s="1"/>
  <c r="J34" i="11"/>
  <c r="P38" i="11"/>
  <c r="P39" i="11" s="1"/>
  <c r="V34" i="13"/>
  <c r="X38" i="13" s="1"/>
  <c r="X39" i="13" s="1"/>
  <c r="X40" i="13" s="1"/>
  <c r="X41" i="13" s="1"/>
  <c r="P38" i="13"/>
  <c r="P39" i="13" s="1"/>
  <c r="J34" i="13"/>
  <c r="H39" i="11"/>
  <c r="H40" i="11" s="1"/>
  <c r="H41" i="11" s="1"/>
  <c r="F34" i="11"/>
  <c r="N34" i="12"/>
  <c r="R34" i="12" s="1"/>
  <c r="L38" i="12"/>
  <c r="L39" i="12" s="1"/>
  <c r="P32" i="12"/>
  <c r="T32" i="12" s="1"/>
  <c r="H39" i="12"/>
  <c r="H40" i="12" s="1"/>
  <c r="H41" i="12" s="1"/>
  <c r="F34" i="12"/>
  <c r="F34" i="13"/>
  <c r="H39" i="13"/>
  <c r="H40" i="13" s="1"/>
  <c r="H41" i="13" s="1"/>
  <c r="P31" i="11"/>
  <c r="T31" i="11" s="1"/>
  <c r="L32" i="11"/>
  <c r="T38" i="11"/>
  <c r="T39" i="11" s="1"/>
  <c r="L32" i="13"/>
  <c r="P31" i="13"/>
  <c r="T31" i="13" s="1"/>
  <c r="D11" i="1"/>
  <c r="C28" i="1"/>
  <c r="H37" i="1" s="1"/>
  <c r="P32" i="11" l="1"/>
  <c r="T32" i="11" s="1"/>
  <c r="L33" i="11"/>
  <c r="N34" i="13"/>
  <c r="R34" i="13" s="1"/>
  <c r="L38" i="13"/>
  <c r="L39" i="13" s="1"/>
  <c r="N34" i="11"/>
  <c r="R34" i="11" s="1"/>
  <c r="L38" i="11"/>
  <c r="L39" i="11" s="1"/>
  <c r="L33" i="13"/>
  <c r="P32" i="13"/>
  <c r="T32" i="13" s="1"/>
  <c r="L33" i="12"/>
  <c r="C18" i="1"/>
  <c r="K14" i="1"/>
  <c r="N14" i="1" s="1"/>
  <c r="M19" i="1"/>
  <c r="M20" i="1" s="1"/>
  <c r="M21" i="1" s="1"/>
  <c r="M22" i="1" s="1"/>
  <c r="M23" i="1" s="1"/>
  <c r="L18" i="1"/>
  <c r="P6" i="1"/>
  <c r="M8" i="1" s="1"/>
  <c r="I16" i="1"/>
  <c r="P33" i="13" l="1"/>
  <c r="T33" i="13" s="1"/>
  <c r="L37" i="13"/>
  <c r="L37" i="11"/>
  <c r="P33" i="11"/>
  <c r="T33" i="11" s="1"/>
  <c r="L37" i="12"/>
  <c r="P33" i="12"/>
  <c r="T33" i="12" s="1"/>
  <c r="O14" i="1"/>
  <c r="D28" i="1" s="1"/>
  <c r="L19" i="1"/>
  <c r="L20" i="1" s="1"/>
  <c r="L21" i="1" s="1"/>
  <c r="J18" i="1"/>
  <c r="C29" i="1" s="1"/>
  <c r="O8" i="1"/>
  <c r="N8" i="1"/>
  <c r="L40" i="11" l="1"/>
  <c r="T37" i="11"/>
  <c r="T40" i="11" s="1"/>
  <c r="P37" i="11"/>
  <c r="P40" i="11" s="1"/>
  <c r="L40" i="13"/>
  <c r="T37" i="13"/>
  <c r="T40" i="13" s="1"/>
  <c r="P37" i="13"/>
  <c r="P40" i="13" s="1"/>
  <c r="T37" i="12"/>
  <c r="T40" i="12" s="1"/>
  <c r="P37" i="12"/>
  <c r="P40" i="12" s="1"/>
  <c r="L40" i="12"/>
  <c r="S6" i="1"/>
  <c r="D8" i="1" s="1"/>
  <c r="H8" i="1" s="1"/>
  <c r="J8" i="1" s="1"/>
  <c r="L22" i="1"/>
  <c r="L23" i="1" s="1"/>
  <c r="J28" i="1"/>
  <c r="N28" i="1" s="1"/>
  <c r="R28" i="1" s="1"/>
  <c r="V28" i="1"/>
  <c r="J19" i="1"/>
  <c r="C30" i="1" s="1"/>
  <c r="C19" i="1"/>
  <c r="I19" i="1" s="1"/>
  <c r="Y30" i="1" s="1"/>
  <c r="J20" i="1" l="1"/>
  <c r="C31" i="1" s="1"/>
  <c r="C20" i="1"/>
  <c r="J21" i="1" l="1"/>
  <c r="C32" i="1" s="1"/>
  <c r="C21" i="1"/>
  <c r="J22" i="1" l="1"/>
  <c r="C22" i="1"/>
  <c r="I22" i="1" s="1"/>
  <c r="C33" i="1" l="1"/>
  <c r="J23" i="1"/>
  <c r="C34" i="1" s="1"/>
  <c r="C23" i="1"/>
  <c r="Y33" i="1"/>
  <c r="E16" i="1"/>
  <c r="B28" i="1" l="1"/>
  <c r="A19" i="1" l="1"/>
  <c r="D18" i="1"/>
  <c r="I11" i="1"/>
  <c r="F16" i="1"/>
  <c r="G16" i="1"/>
  <c r="B18" i="1"/>
  <c r="A20" i="1" l="1"/>
  <c r="A21" i="1" s="1"/>
  <c r="A22" i="1" s="1"/>
  <c r="Z33" i="1" s="1"/>
  <c r="Z30" i="1"/>
  <c r="B19" i="1"/>
  <c r="B20" i="1" s="1"/>
  <c r="B29" i="1"/>
  <c r="I20" i="1"/>
  <c r="D19" i="1"/>
  <c r="F18" i="1"/>
  <c r="E18" i="1"/>
  <c r="Y31" i="1" l="1"/>
  <c r="Z31" i="1" s="1"/>
  <c r="B30" i="1"/>
  <c r="I18" i="1"/>
  <c r="B21" i="1"/>
  <c r="B31" i="1"/>
  <c r="D20" i="1"/>
  <c r="F19" i="1"/>
  <c r="G18" i="1"/>
  <c r="H18" i="1" s="1"/>
  <c r="G19" i="1"/>
  <c r="E19" i="1"/>
  <c r="Y29" i="1" l="1"/>
  <c r="H19" i="1"/>
  <c r="K18" i="1"/>
  <c r="N18" i="1" s="1"/>
  <c r="F20" i="1"/>
  <c r="K19" i="1"/>
  <c r="N19" i="1" s="1"/>
  <c r="G20" i="1"/>
  <c r="E20" i="1"/>
  <c r="B22" i="1"/>
  <c r="B32" i="1"/>
  <c r="D21" i="1"/>
  <c r="E28" i="1"/>
  <c r="F28" i="1" s="1"/>
  <c r="E33" i="1"/>
  <c r="E34" i="1"/>
  <c r="E30" i="1"/>
  <c r="E31" i="1"/>
  <c r="E29" i="1"/>
  <c r="E32" i="1"/>
  <c r="I21" i="1"/>
  <c r="Y32" i="1" s="1"/>
  <c r="Z32" i="1" s="1"/>
  <c r="O18" i="1" l="1"/>
  <c r="D29" i="1" s="1"/>
  <c r="F29" i="1" s="1"/>
  <c r="G29" i="1" s="1"/>
  <c r="H29" i="1" s="1"/>
  <c r="V29" i="1"/>
  <c r="V30" i="1"/>
  <c r="Z29" i="1"/>
  <c r="AA29" i="1" s="1"/>
  <c r="AA30" i="1" s="1"/>
  <c r="AA31" i="1" s="1"/>
  <c r="AA32" i="1" s="1"/>
  <c r="AA33" i="1" s="1"/>
  <c r="AA37" i="1" s="1"/>
  <c r="H20" i="1"/>
  <c r="K20" i="1"/>
  <c r="N20" i="1" s="1"/>
  <c r="O19" i="1"/>
  <c r="D30" i="1" s="1"/>
  <c r="F30" i="1" s="1"/>
  <c r="G30" i="1" s="1"/>
  <c r="B23" i="1"/>
  <c r="B34" i="1" s="1"/>
  <c r="B33" i="1"/>
  <c r="D22" i="1"/>
  <c r="F21" i="1"/>
  <c r="E21" i="1"/>
  <c r="G21" i="1"/>
  <c r="J31" i="1" l="1"/>
  <c r="W29" i="1"/>
  <c r="X29" i="1" s="1"/>
  <c r="J29" i="1"/>
  <c r="H30" i="1"/>
  <c r="W30" i="1"/>
  <c r="J30" i="1"/>
  <c r="H21" i="1"/>
  <c r="O20" i="1"/>
  <c r="D31" i="1" s="1"/>
  <c r="F31" i="1" s="1"/>
  <c r="G31" i="1" s="1"/>
  <c r="K21" i="1"/>
  <c r="N21" i="1" s="1"/>
  <c r="D23" i="1"/>
  <c r="E22" i="1"/>
  <c r="F22" i="1"/>
  <c r="G22" i="1"/>
  <c r="I23" i="1"/>
  <c r="Y34" i="1" s="1"/>
  <c r="AA38" i="1" s="1"/>
  <c r="K29" i="1" l="1"/>
  <c r="N29" i="1"/>
  <c r="R29" i="1" s="1"/>
  <c r="K30" i="1"/>
  <c r="O30" i="1" s="1"/>
  <c r="S30" i="1" s="1"/>
  <c r="N30" i="1"/>
  <c r="R30" i="1" s="1"/>
  <c r="K31" i="1"/>
  <c r="O31" i="1" s="1"/>
  <c r="S31" i="1" s="1"/>
  <c r="N31" i="1"/>
  <c r="R31" i="1" s="1"/>
  <c r="W31" i="1"/>
  <c r="V31" i="1"/>
  <c r="W32" i="1"/>
  <c r="D6" i="1"/>
  <c r="X30" i="1"/>
  <c r="H31" i="1"/>
  <c r="H22" i="1"/>
  <c r="K22" i="1"/>
  <c r="N22" i="1" s="1"/>
  <c r="O21" i="1"/>
  <c r="D32" i="1" s="1"/>
  <c r="F32" i="1" s="1"/>
  <c r="G32" i="1" s="1"/>
  <c r="F23" i="1"/>
  <c r="G23" i="1"/>
  <c r="E23" i="1"/>
  <c r="L29" i="1" l="1"/>
  <c r="O29" i="1"/>
  <c r="S29" i="1" s="1"/>
  <c r="J32" i="1"/>
  <c r="X31" i="1"/>
  <c r="X32" i="1" s="1"/>
  <c r="O22" i="1"/>
  <c r="D33" i="1" s="1"/>
  <c r="F33" i="1" s="1"/>
  <c r="G33" i="1" s="1"/>
  <c r="V33" i="1"/>
  <c r="V32" i="1"/>
  <c r="H32" i="1"/>
  <c r="H23" i="1"/>
  <c r="K23" i="1"/>
  <c r="N23" i="1" l="1"/>
  <c r="P38" i="1" s="1"/>
  <c r="P39" i="1" s="1"/>
  <c r="K32" i="1"/>
  <c r="N32" i="1"/>
  <c r="R32" i="1" s="1"/>
  <c r="H33" i="1"/>
  <c r="H38" i="1" s="1"/>
  <c r="P29" i="1"/>
  <c r="T29" i="1" s="1"/>
  <c r="L30" i="1"/>
  <c r="W33" i="1"/>
  <c r="X33" i="1" s="1"/>
  <c r="X37" i="1" s="1"/>
  <c r="J33" i="1"/>
  <c r="O23" i="1"/>
  <c r="T38" i="1" s="1"/>
  <c r="K33" i="1" l="1"/>
  <c r="N33" i="1"/>
  <c r="R33" i="1" s="1"/>
  <c r="L31" i="1"/>
  <c r="P31" i="1" s="1"/>
  <c r="T31" i="1" s="1"/>
  <c r="P30" i="1"/>
  <c r="T30" i="1" s="1"/>
  <c r="O32" i="1"/>
  <c r="S32" i="1" s="1"/>
  <c r="V34" i="1"/>
  <c r="X38" i="1" s="1"/>
  <c r="X39" i="1" s="1"/>
  <c r="X40" i="1" s="1"/>
  <c r="AA39" i="1"/>
  <c r="AA40" i="1" s="1"/>
  <c r="T39" i="1"/>
  <c r="J34" i="1"/>
  <c r="N34" i="1" s="1"/>
  <c r="R34" i="1" s="1"/>
  <c r="D34" i="1"/>
  <c r="H39" i="1" s="1"/>
  <c r="L32" i="1" l="1"/>
  <c r="P32" i="1" s="1"/>
  <c r="T32" i="1" s="1"/>
  <c r="O33" i="1"/>
  <c r="S33" i="1" s="1"/>
  <c r="L38" i="1"/>
  <c r="L39" i="1" s="1"/>
  <c r="X41" i="1"/>
  <c r="F34" i="1"/>
  <c r="H40" i="1"/>
  <c r="H41" i="1" s="1"/>
  <c r="L33" i="1" l="1"/>
  <c r="L37" i="1" s="1"/>
  <c r="L40" i="1" s="1"/>
  <c r="P33" i="1" l="1"/>
  <c r="T33" i="1" s="1"/>
  <c r="P37" i="1"/>
  <c r="P40" i="1" s="1"/>
  <c r="T37" i="1"/>
  <c r="T40" i="1" s="1"/>
</calcChain>
</file>

<file path=xl/sharedStrings.xml><?xml version="1.0" encoding="utf-8"?>
<sst xmlns="http://schemas.openxmlformats.org/spreadsheetml/2006/main" count="558" uniqueCount="230">
  <si>
    <t>Year</t>
  </si>
  <si>
    <t>Revenue</t>
  </si>
  <si>
    <t>S &amp; A Expense</t>
  </si>
  <si>
    <t>Interest Expense</t>
  </si>
  <si>
    <t>Forecast Ratios</t>
  </si>
  <si>
    <t>Interest Bearing Debt</t>
  </si>
  <si>
    <t>Debt</t>
  </si>
  <si>
    <t>ROIC</t>
  </si>
  <si>
    <t>NOPLAT</t>
  </si>
  <si>
    <t>Tax Rate</t>
  </si>
  <si>
    <t>Assume constant D/E ratio same as (D/IC ratio)</t>
  </si>
  <si>
    <t>Assume constant Revenue/IC ratio (Which is similar to TAT)</t>
  </si>
  <si>
    <t>Invested Capital</t>
  </si>
  <si>
    <t>FCF</t>
  </si>
  <si>
    <t>∆ NWC</t>
  </si>
  <si>
    <t>WACC</t>
  </si>
  <si>
    <t>COGS</t>
  </si>
  <si>
    <t>WACC =</t>
  </si>
  <si>
    <t>D</t>
  </si>
  <si>
    <t>E</t>
  </si>
  <si>
    <t>P</t>
  </si>
  <si>
    <t>V</t>
  </si>
  <si>
    <t>D/V</t>
  </si>
  <si>
    <t>E/V</t>
  </si>
  <si>
    <t>P/V</t>
  </si>
  <si>
    <t>B</t>
  </si>
  <si>
    <r>
      <t>R</t>
    </r>
    <r>
      <rPr>
        <b/>
        <vertAlign val="subscript"/>
        <sz val="11"/>
        <color theme="1"/>
        <rFont val="Calibri"/>
        <family val="2"/>
        <scheme val="minor"/>
      </rPr>
      <t>D</t>
    </r>
  </si>
  <si>
    <r>
      <t>R</t>
    </r>
    <r>
      <rPr>
        <b/>
        <vertAlign val="subscript"/>
        <sz val="11"/>
        <color theme="1"/>
        <rFont val="Calibri"/>
        <family val="2"/>
        <scheme val="minor"/>
      </rPr>
      <t>E</t>
    </r>
  </si>
  <si>
    <r>
      <t>R</t>
    </r>
    <r>
      <rPr>
        <b/>
        <vertAlign val="subscript"/>
        <sz val="11"/>
        <color theme="1"/>
        <rFont val="Calibri"/>
        <family val="2"/>
        <scheme val="minor"/>
      </rPr>
      <t>P</t>
    </r>
  </si>
  <si>
    <r>
      <t>R</t>
    </r>
    <r>
      <rPr>
        <b/>
        <vertAlign val="subscript"/>
        <sz val="11"/>
        <color theme="1"/>
        <rFont val="Calibri"/>
        <family val="2"/>
        <scheme val="minor"/>
      </rPr>
      <t>F</t>
    </r>
  </si>
  <si>
    <r>
      <t>R</t>
    </r>
    <r>
      <rPr>
        <b/>
        <vertAlign val="subscript"/>
        <sz val="11"/>
        <color theme="1"/>
        <rFont val="Calibri"/>
        <family val="2"/>
        <scheme val="minor"/>
      </rPr>
      <t>M</t>
    </r>
  </si>
  <si>
    <r>
      <t>V</t>
    </r>
    <r>
      <rPr>
        <b/>
        <vertAlign val="subscript"/>
        <sz val="11"/>
        <color rgb="FF7030A0"/>
        <rFont val="Calibri"/>
        <family val="2"/>
        <scheme val="minor"/>
      </rPr>
      <t>FCF</t>
    </r>
  </si>
  <si>
    <r>
      <t>V</t>
    </r>
    <r>
      <rPr>
        <b/>
        <vertAlign val="subscript"/>
        <sz val="11"/>
        <color rgb="FF7030A0"/>
        <rFont val="Calibri"/>
        <family val="2"/>
        <scheme val="minor"/>
      </rPr>
      <t>TAX</t>
    </r>
  </si>
  <si>
    <r>
      <rPr>
        <b/>
        <sz val="11"/>
        <rFont val="Calibri"/>
        <family val="2"/>
        <scheme val="minor"/>
      </rPr>
      <t>Economic Profit = IC</t>
    </r>
    <r>
      <rPr>
        <b/>
        <sz val="11"/>
        <color rgb="FFFF0000"/>
        <rFont val="Calibri"/>
        <family val="2"/>
        <scheme val="minor"/>
      </rPr>
      <t xml:space="preserve"> </t>
    </r>
    <r>
      <rPr>
        <b/>
        <sz val="11"/>
        <rFont val="Calibri"/>
        <family val="2"/>
        <scheme val="minor"/>
      </rPr>
      <t>+</t>
    </r>
    <r>
      <rPr>
        <b/>
        <sz val="11"/>
        <color rgb="FFFF0000"/>
        <rFont val="Calibri"/>
        <family val="2"/>
        <scheme val="minor"/>
      </rPr>
      <t xml:space="preserve"> PV</t>
    </r>
    <r>
      <rPr>
        <b/>
        <vertAlign val="subscript"/>
        <sz val="11"/>
        <color rgb="FFFF0000"/>
        <rFont val="Calibri"/>
        <family val="2"/>
        <scheme val="minor"/>
      </rPr>
      <t>EXPLICIT</t>
    </r>
    <r>
      <rPr>
        <b/>
        <sz val="11"/>
        <color rgb="FFFF0000"/>
        <rFont val="Calibri"/>
        <family val="2"/>
        <scheme val="minor"/>
      </rPr>
      <t xml:space="preserve">  </t>
    </r>
    <r>
      <rPr>
        <b/>
        <sz val="11"/>
        <rFont val="Calibri"/>
        <family val="2"/>
        <scheme val="minor"/>
      </rPr>
      <t>+</t>
    </r>
    <r>
      <rPr>
        <b/>
        <sz val="11"/>
        <color rgb="FFFF0000"/>
        <rFont val="Calibri"/>
        <family val="2"/>
        <scheme val="minor"/>
      </rPr>
      <t xml:space="preserve"> </t>
    </r>
    <r>
      <rPr>
        <b/>
        <sz val="11"/>
        <color rgb="FF0000CC"/>
        <rFont val="Calibri"/>
        <family val="2"/>
        <scheme val="minor"/>
      </rPr>
      <t>PV</t>
    </r>
    <r>
      <rPr>
        <b/>
        <vertAlign val="subscript"/>
        <sz val="11"/>
        <color rgb="FF0000CC"/>
        <rFont val="Calibri"/>
        <family val="2"/>
        <scheme val="minor"/>
      </rPr>
      <t>CV</t>
    </r>
  </si>
  <si>
    <r>
      <t>PV</t>
    </r>
    <r>
      <rPr>
        <b/>
        <vertAlign val="subscript"/>
        <sz val="11"/>
        <color theme="1"/>
        <rFont val="Calibri"/>
        <family val="2"/>
        <scheme val="minor"/>
      </rPr>
      <t>DCF</t>
    </r>
  </si>
  <si>
    <r>
      <t>PV</t>
    </r>
    <r>
      <rPr>
        <b/>
        <vertAlign val="subscript"/>
        <sz val="11"/>
        <color rgb="FFFF0000"/>
        <rFont val="Calibri"/>
        <family val="2"/>
        <scheme val="minor"/>
      </rPr>
      <t>EXPLICIT</t>
    </r>
  </si>
  <si>
    <t>Forecasting ROIC and Value</t>
  </si>
  <si>
    <t>Econ Profit</t>
  </si>
  <si>
    <t>EBIT</t>
  </si>
  <si>
    <t>CV</t>
  </si>
  <si>
    <t>VALUE</t>
  </si>
  <si>
    <r>
      <t>PV</t>
    </r>
    <r>
      <rPr>
        <b/>
        <vertAlign val="subscript"/>
        <sz val="11"/>
        <color theme="1"/>
        <rFont val="Calibri"/>
        <family val="2"/>
        <scheme val="minor"/>
      </rPr>
      <t>CV</t>
    </r>
  </si>
  <si>
    <r>
      <t>k</t>
    </r>
    <r>
      <rPr>
        <vertAlign val="subscript"/>
        <sz val="11"/>
        <color theme="1"/>
        <rFont val="Calibri"/>
        <family val="2"/>
        <scheme val="minor"/>
      </rPr>
      <t>d</t>
    </r>
  </si>
  <si>
    <r>
      <t>k</t>
    </r>
    <r>
      <rPr>
        <vertAlign val="subscript"/>
        <sz val="11"/>
        <color theme="1"/>
        <rFont val="Calibri"/>
        <family val="2"/>
        <scheme val="minor"/>
      </rPr>
      <t>U</t>
    </r>
  </si>
  <si>
    <r>
      <t>k</t>
    </r>
    <r>
      <rPr>
        <vertAlign val="subscript"/>
        <sz val="11"/>
        <color theme="1"/>
        <rFont val="Calibri"/>
        <family val="2"/>
        <scheme val="minor"/>
      </rPr>
      <t>TAX</t>
    </r>
  </si>
  <si>
    <r>
      <t>PV</t>
    </r>
    <r>
      <rPr>
        <b/>
        <vertAlign val="subscript"/>
        <sz val="11"/>
        <color rgb="FFFF0000"/>
        <rFont val="Calibri"/>
        <family val="2"/>
        <scheme val="minor"/>
      </rPr>
      <t>ECON</t>
    </r>
    <r>
      <rPr>
        <b/>
        <vertAlign val="subscript"/>
        <sz val="11"/>
        <color rgb="FFFF0000"/>
        <rFont val="Calibri"/>
        <family val="2"/>
      </rPr>
      <t>π</t>
    </r>
  </si>
  <si>
    <r>
      <t>Total PV</t>
    </r>
    <r>
      <rPr>
        <b/>
        <vertAlign val="subscript"/>
        <sz val="11"/>
        <color rgb="FFFF0000"/>
        <rFont val="Calibri"/>
        <family val="2"/>
        <scheme val="minor"/>
      </rPr>
      <t>ECON</t>
    </r>
    <r>
      <rPr>
        <b/>
        <vertAlign val="subscript"/>
        <sz val="11"/>
        <color rgb="FFFF0000"/>
        <rFont val="Calibri"/>
        <family val="2"/>
      </rPr>
      <t>π</t>
    </r>
  </si>
  <si>
    <r>
      <t>PV</t>
    </r>
    <r>
      <rPr>
        <b/>
        <vertAlign val="subscript"/>
        <sz val="11"/>
        <color rgb="FF008000"/>
        <rFont val="Calibri"/>
        <family val="2"/>
        <scheme val="minor"/>
      </rPr>
      <t>DCF(FCF)</t>
    </r>
  </si>
  <si>
    <r>
      <t>Total PV</t>
    </r>
    <r>
      <rPr>
        <b/>
        <vertAlign val="subscript"/>
        <sz val="11"/>
        <color rgb="FF008000"/>
        <rFont val="Calibri"/>
        <family val="2"/>
        <scheme val="minor"/>
      </rPr>
      <t>DCF(FCF)</t>
    </r>
  </si>
  <si>
    <r>
      <t>CV</t>
    </r>
    <r>
      <rPr>
        <b/>
        <vertAlign val="subscript"/>
        <sz val="11"/>
        <color rgb="FFFF0000"/>
        <rFont val="Calibri"/>
        <family val="2"/>
        <scheme val="minor"/>
      </rPr>
      <t xml:space="preserve">ECON </t>
    </r>
    <r>
      <rPr>
        <b/>
        <vertAlign val="subscript"/>
        <sz val="11"/>
        <color rgb="FFFF0000"/>
        <rFont val="Calibri"/>
        <family val="2"/>
      </rPr>
      <t>π</t>
    </r>
  </si>
  <si>
    <r>
      <t>PV</t>
    </r>
    <r>
      <rPr>
        <b/>
        <vertAlign val="subscript"/>
        <sz val="11"/>
        <color rgb="FFFF0000"/>
        <rFont val="Calibri"/>
        <family val="2"/>
        <scheme val="minor"/>
      </rPr>
      <t>CV</t>
    </r>
  </si>
  <si>
    <r>
      <t>VALUE</t>
    </r>
    <r>
      <rPr>
        <b/>
        <vertAlign val="subscript"/>
        <sz val="11"/>
        <color rgb="FFFF0000"/>
        <rFont val="Calibri"/>
        <family val="2"/>
        <scheme val="minor"/>
      </rPr>
      <t xml:space="preserve">ECON </t>
    </r>
    <r>
      <rPr>
        <b/>
        <vertAlign val="subscript"/>
        <sz val="11"/>
        <color rgb="FFFF0000"/>
        <rFont val="Calibri"/>
        <family val="2"/>
      </rPr>
      <t>π</t>
    </r>
  </si>
  <si>
    <r>
      <t>CV</t>
    </r>
    <r>
      <rPr>
        <b/>
        <vertAlign val="subscript"/>
        <sz val="11"/>
        <color rgb="FF008000"/>
        <rFont val="Calibri"/>
        <family val="2"/>
        <scheme val="minor"/>
      </rPr>
      <t>FCF</t>
    </r>
  </si>
  <si>
    <r>
      <t>PV</t>
    </r>
    <r>
      <rPr>
        <b/>
        <vertAlign val="subscript"/>
        <sz val="11"/>
        <color rgb="FF008000"/>
        <rFont val="Calibri"/>
        <family val="2"/>
        <scheme val="minor"/>
      </rPr>
      <t>CV(FCF)</t>
    </r>
  </si>
  <si>
    <r>
      <t>VALUE</t>
    </r>
    <r>
      <rPr>
        <b/>
        <vertAlign val="subscript"/>
        <sz val="11"/>
        <color rgb="FF008000"/>
        <rFont val="Calibri"/>
        <family val="2"/>
        <scheme val="minor"/>
      </rPr>
      <t>FCF</t>
    </r>
  </si>
  <si>
    <t>Dep</t>
  </si>
  <si>
    <t>APV Model</t>
  </si>
  <si>
    <t>Tax Shield</t>
  </si>
  <si>
    <r>
      <t>PV</t>
    </r>
    <r>
      <rPr>
        <b/>
        <vertAlign val="subscript"/>
        <sz val="11"/>
        <color rgb="FF7030A0"/>
        <rFont val="Calibri"/>
        <family val="2"/>
        <scheme val="minor"/>
      </rPr>
      <t>Tax Shield</t>
    </r>
  </si>
  <si>
    <r>
      <t>Total       PV</t>
    </r>
    <r>
      <rPr>
        <b/>
        <vertAlign val="subscript"/>
        <sz val="11"/>
        <color rgb="FF7030A0"/>
        <rFont val="Calibri"/>
        <family val="2"/>
        <scheme val="minor"/>
      </rPr>
      <t>Tax Shield</t>
    </r>
  </si>
  <si>
    <r>
      <t>PV</t>
    </r>
    <r>
      <rPr>
        <b/>
        <vertAlign val="subscript"/>
        <sz val="11"/>
        <color rgb="FF7030A0"/>
        <rFont val="Calibri"/>
        <family val="2"/>
        <scheme val="minor"/>
      </rPr>
      <t>DCF(FCF)</t>
    </r>
  </si>
  <si>
    <r>
      <t>Total PV</t>
    </r>
    <r>
      <rPr>
        <b/>
        <vertAlign val="subscript"/>
        <sz val="11"/>
        <color rgb="FF7030A0"/>
        <rFont val="Calibri"/>
        <family val="2"/>
        <scheme val="minor"/>
      </rPr>
      <t>DCF(FCF)</t>
    </r>
  </si>
  <si>
    <t>NCS</t>
  </si>
  <si>
    <t>Preferred Dividend</t>
  </si>
  <si>
    <r>
      <t xml:space="preserve">Econ </t>
    </r>
    <r>
      <rPr>
        <b/>
        <sz val="11"/>
        <color rgb="FFFF0000"/>
        <rFont val="Calibri"/>
        <family val="2"/>
      </rPr>
      <t>π</t>
    </r>
    <r>
      <rPr>
        <b/>
        <vertAlign val="subscript"/>
        <sz val="11"/>
        <color rgb="FFFF0000"/>
        <rFont val="Calibri"/>
        <family val="2"/>
      </rPr>
      <t>0</t>
    </r>
  </si>
  <si>
    <t>Balance Sheet (millions)</t>
  </si>
  <si>
    <t>Income Statement (millions)</t>
  </si>
  <si>
    <t>Year Ending December 31</t>
  </si>
  <si>
    <t>January 1 - December 31</t>
  </si>
  <si>
    <t>Current Assets</t>
  </si>
  <si>
    <t>Current Liabilitites</t>
  </si>
  <si>
    <t>Income</t>
  </si>
  <si>
    <t>Cash &amp; Securities</t>
  </si>
  <si>
    <t>Accounts Payable</t>
  </si>
  <si>
    <t>Product Sales</t>
  </si>
  <si>
    <t>Accounts Receivable</t>
  </si>
  <si>
    <t>Other</t>
  </si>
  <si>
    <t>Services</t>
  </si>
  <si>
    <t>Inventory</t>
  </si>
  <si>
    <t>Total</t>
  </si>
  <si>
    <t>Private Equity</t>
  </si>
  <si>
    <t xml:space="preserve">Total </t>
  </si>
  <si>
    <t>Long Term Debt</t>
  </si>
  <si>
    <t>Total Income</t>
  </si>
  <si>
    <t>Fixed Assets</t>
  </si>
  <si>
    <t>Mortgages</t>
  </si>
  <si>
    <t>PPE</t>
  </si>
  <si>
    <t>Bonds</t>
  </si>
  <si>
    <t>Expenses</t>
  </si>
  <si>
    <t>Sales &amp; Marketing</t>
  </si>
  <si>
    <t>Owner's Equity</t>
  </si>
  <si>
    <t>Administration</t>
  </si>
  <si>
    <t>Common Stock</t>
  </si>
  <si>
    <t>Depreciation</t>
  </si>
  <si>
    <t>Preferred Stock</t>
  </si>
  <si>
    <t>Total Expenses</t>
  </si>
  <si>
    <t>Accumulated Retained Earnings</t>
  </si>
  <si>
    <t>Interest Paid</t>
  </si>
  <si>
    <t>Total Assets</t>
  </si>
  <si>
    <t>Total Liabilities and Owner's Equity</t>
  </si>
  <si>
    <t>General Interest</t>
  </si>
  <si>
    <t>Total Interest Paid</t>
  </si>
  <si>
    <t>Additional Financial Information</t>
  </si>
  <si>
    <t>Taxable Income</t>
  </si>
  <si>
    <t>Preferred Stock Value</t>
  </si>
  <si>
    <t>Common Stock Value</t>
  </si>
  <si>
    <t>Taxes Paid</t>
  </si>
  <si>
    <t>Shares Outstanding (millions)</t>
  </si>
  <si>
    <t>Net Income</t>
  </si>
  <si>
    <t>12/31 Price per Share</t>
  </si>
  <si>
    <t>Market Value (millions)</t>
  </si>
  <si>
    <t>P/E Multiple</t>
  </si>
  <si>
    <t>Distribution of Earnings</t>
  </si>
  <si>
    <t>EPS</t>
  </si>
  <si>
    <t>Dividends (Common)</t>
  </si>
  <si>
    <t>Dividends (Preferred)</t>
  </si>
  <si>
    <t>Book Value / Liabilities</t>
  </si>
  <si>
    <t>Addition to Retained Earnings</t>
  </si>
  <si>
    <t>NWC</t>
  </si>
  <si>
    <t>E/V (common stock)</t>
  </si>
  <si>
    <t>OCF</t>
  </si>
  <si>
    <t>P/V (perferred stock)</t>
  </si>
  <si>
    <t>D/V (total long term debt)</t>
  </si>
  <si>
    <t>CFFA (1)</t>
  </si>
  <si>
    <t>CFFA (2)</t>
  </si>
  <si>
    <t>CF/CR</t>
  </si>
  <si>
    <t>Cost of Debt</t>
  </si>
  <si>
    <t>TRS (common)</t>
  </si>
  <si>
    <t>CF/SH</t>
  </si>
  <si>
    <t>Cost of Preferred</t>
  </si>
  <si>
    <t xml:space="preserve">           Dividend yield</t>
  </si>
  <si>
    <t>EBITDA</t>
  </si>
  <si>
    <r>
      <t>Cost of Equity</t>
    </r>
    <r>
      <rPr>
        <vertAlign val="subscript"/>
        <sz val="11"/>
        <color theme="1"/>
        <rFont val="Calibri"/>
        <family val="2"/>
        <scheme val="minor"/>
      </rPr>
      <t>DG</t>
    </r>
    <r>
      <rPr>
        <sz val="11"/>
        <color theme="1"/>
        <rFont val="Calibri"/>
        <family val="2"/>
        <scheme val="minor"/>
      </rPr>
      <t xml:space="preserve"> (R</t>
    </r>
    <r>
      <rPr>
        <vertAlign val="subscript"/>
        <sz val="11"/>
        <color theme="1"/>
        <rFont val="Calibri"/>
        <family val="2"/>
        <scheme val="minor"/>
      </rPr>
      <t>E</t>
    </r>
    <r>
      <rPr>
        <sz val="11"/>
        <color theme="1"/>
        <rFont val="Calibri"/>
        <family val="2"/>
        <scheme val="minor"/>
      </rPr>
      <t xml:space="preserve"> = D</t>
    </r>
    <r>
      <rPr>
        <vertAlign val="subscript"/>
        <sz val="11"/>
        <color theme="1"/>
        <rFont val="Calibri"/>
        <family val="2"/>
        <scheme val="minor"/>
      </rPr>
      <t>1</t>
    </r>
    <r>
      <rPr>
        <sz val="11"/>
        <color theme="1"/>
        <rFont val="Calibri"/>
        <family val="2"/>
        <scheme val="minor"/>
      </rPr>
      <t>/P</t>
    </r>
    <r>
      <rPr>
        <vertAlign val="subscript"/>
        <sz val="11"/>
        <color theme="1"/>
        <rFont val="Calibri"/>
        <family val="2"/>
        <scheme val="minor"/>
      </rPr>
      <t>0</t>
    </r>
    <r>
      <rPr>
        <sz val="11"/>
        <color theme="1"/>
        <rFont val="Calibri"/>
        <family val="2"/>
        <scheme val="minor"/>
      </rPr>
      <t xml:space="preserve"> + </t>
    </r>
    <r>
      <rPr>
        <i/>
        <sz val="11"/>
        <color theme="1"/>
        <rFont val="Calibri"/>
        <family val="2"/>
        <scheme val="minor"/>
      </rPr>
      <t>g</t>
    </r>
    <r>
      <rPr>
        <sz val="11"/>
        <color theme="1"/>
        <rFont val="Calibri"/>
        <family val="2"/>
        <scheme val="minor"/>
      </rPr>
      <t>)</t>
    </r>
  </si>
  <si>
    <t xml:space="preserve">           % Change in share price</t>
  </si>
  <si>
    <t>Enterprise Value</t>
  </si>
  <si>
    <r>
      <t>Cost of Equity</t>
    </r>
    <r>
      <rPr>
        <vertAlign val="subscript"/>
        <sz val="11"/>
        <color theme="1"/>
        <rFont val="Calibri"/>
        <family val="2"/>
        <scheme val="minor"/>
      </rPr>
      <t>CAPM</t>
    </r>
    <r>
      <rPr>
        <sz val="11"/>
        <color theme="1"/>
        <rFont val="Calibri"/>
        <family val="2"/>
        <scheme val="minor"/>
      </rPr>
      <t xml:space="preserve"> (R</t>
    </r>
    <r>
      <rPr>
        <vertAlign val="subscript"/>
        <sz val="11"/>
        <color theme="1"/>
        <rFont val="Calibri"/>
        <family val="2"/>
        <scheme val="minor"/>
      </rPr>
      <t>E</t>
    </r>
    <r>
      <rPr>
        <sz val="11"/>
        <color theme="1"/>
        <rFont val="Calibri"/>
        <family val="2"/>
        <scheme val="minor"/>
      </rPr>
      <t xml:space="preserve"> = R</t>
    </r>
    <r>
      <rPr>
        <vertAlign val="subscript"/>
        <sz val="11"/>
        <color theme="1"/>
        <rFont val="Calibri"/>
        <family val="2"/>
        <scheme val="minor"/>
      </rPr>
      <t>F</t>
    </r>
    <r>
      <rPr>
        <sz val="11"/>
        <color theme="1"/>
        <rFont val="Calibri"/>
        <family val="2"/>
        <scheme val="minor"/>
      </rPr>
      <t>+(R</t>
    </r>
    <r>
      <rPr>
        <vertAlign val="subscript"/>
        <sz val="11"/>
        <color theme="1"/>
        <rFont val="Calibri"/>
        <family val="2"/>
        <scheme val="minor"/>
      </rPr>
      <t>M</t>
    </r>
    <r>
      <rPr>
        <sz val="11"/>
        <color theme="1"/>
        <rFont val="Calibri"/>
        <family val="2"/>
        <scheme val="minor"/>
      </rPr>
      <t>-R</t>
    </r>
    <r>
      <rPr>
        <vertAlign val="subscript"/>
        <sz val="11"/>
        <color theme="1"/>
        <rFont val="Calibri"/>
        <family val="2"/>
        <scheme val="minor"/>
      </rPr>
      <t>F</t>
    </r>
    <r>
      <rPr>
        <sz val="11"/>
        <color theme="1"/>
        <rFont val="Calibri"/>
        <family val="2"/>
        <scheme val="minor"/>
      </rPr>
      <t>)</t>
    </r>
    <r>
      <rPr>
        <sz val="11"/>
        <color theme="1"/>
        <rFont val="Calibri"/>
        <family val="2"/>
      </rPr>
      <t>β</t>
    </r>
  </si>
  <si>
    <t>ROA</t>
  </si>
  <si>
    <t>TRS (preferred)</t>
  </si>
  <si>
    <t>ROE</t>
  </si>
  <si>
    <t>PM</t>
  </si>
  <si>
    <t>Market Returns</t>
  </si>
  <si>
    <t>TAT</t>
  </si>
  <si>
    <t>Risk Free Rate</t>
  </si>
  <si>
    <t>EM</t>
  </si>
  <si>
    <t>Beta (assumed)</t>
  </si>
  <si>
    <t>ROE (Dupont)</t>
  </si>
  <si>
    <t>ROE = NI/TE</t>
  </si>
  <si>
    <t>Payout Ratio</t>
  </si>
  <si>
    <t>Retention Ratio</t>
  </si>
  <si>
    <t>IGR</t>
  </si>
  <si>
    <t>ROIC = NI/Invested Capital</t>
  </si>
  <si>
    <t>SGR</t>
  </si>
  <si>
    <t xml:space="preserve">Net Investment </t>
  </si>
  <si>
    <t>NOPLAT = EBIT x (1-T)</t>
  </si>
  <si>
    <t>IC = FA + NWC (ops approach)</t>
  </si>
  <si>
    <t>ROIC = NOPLAT/Invested Capital</t>
  </si>
  <si>
    <t>IC = TE + LTD (finance approach)</t>
  </si>
  <si>
    <r>
      <t xml:space="preserve">FCF = NOPLAT + Dep - </t>
    </r>
    <r>
      <rPr>
        <sz val="11"/>
        <color theme="1"/>
        <rFont val="Calibri"/>
        <family val="2"/>
      </rPr>
      <t>∆</t>
    </r>
    <r>
      <rPr>
        <sz val="11"/>
        <color theme="1"/>
        <rFont val="Calibri"/>
        <family val="2"/>
        <scheme val="minor"/>
      </rPr>
      <t>NWC - NCS</t>
    </r>
  </si>
  <si>
    <t>FCF = NOPLAT + Dep - Net Invest</t>
  </si>
  <si>
    <r>
      <t>WACC (book based, using RE</t>
    </r>
    <r>
      <rPr>
        <vertAlign val="subscript"/>
        <sz val="11"/>
        <color theme="1"/>
        <rFont val="Calibri"/>
        <family val="2"/>
        <scheme val="minor"/>
      </rPr>
      <t>CAPM</t>
    </r>
    <r>
      <rPr>
        <sz val="11"/>
        <color theme="1"/>
        <rFont val="Calibri"/>
        <family val="2"/>
        <scheme val="minor"/>
      </rPr>
      <t>)</t>
    </r>
  </si>
  <si>
    <t>WACC (market based)</t>
  </si>
  <si>
    <t>Coupon</t>
  </si>
  <si>
    <t>YTM (current yield)</t>
  </si>
  <si>
    <t>P/YR</t>
  </si>
  <si>
    <t>Years</t>
  </si>
  <si>
    <t>N</t>
  </si>
  <si>
    <t>F</t>
  </si>
  <si>
    <t>C = PMT</t>
  </si>
  <si>
    <t>Per bond value</t>
  </si>
  <si>
    <t>Number of bonds</t>
  </si>
  <si>
    <t>Total bond value</t>
  </si>
  <si>
    <t>Market Based Bonds and Cost of Capital</t>
  </si>
  <si>
    <t>Common</t>
  </si>
  <si>
    <t>Preferred</t>
  </si>
  <si>
    <t>Weight</t>
  </si>
  <si>
    <t>Value</t>
  </si>
  <si>
    <t>StarPine Group, Ltd.</t>
  </si>
  <si>
    <r>
      <t>PV</t>
    </r>
    <r>
      <rPr>
        <b/>
        <vertAlign val="subscript"/>
        <sz val="11"/>
        <rFont val="Calibri"/>
        <family val="2"/>
        <scheme val="minor"/>
      </rPr>
      <t>DCF(FCF)</t>
    </r>
  </si>
  <si>
    <r>
      <t>Total PV</t>
    </r>
    <r>
      <rPr>
        <b/>
        <vertAlign val="subscript"/>
        <sz val="11"/>
        <rFont val="Calibri"/>
        <family val="2"/>
        <scheme val="minor"/>
      </rPr>
      <t>DCF(FCF)</t>
    </r>
  </si>
  <si>
    <r>
      <t>CV</t>
    </r>
    <r>
      <rPr>
        <b/>
        <vertAlign val="subscript"/>
        <sz val="11"/>
        <color rgb="FF7030A0"/>
        <rFont val="Calibri"/>
        <family val="2"/>
        <scheme val="minor"/>
      </rPr>
      <t>FCF</t>
    </r>
  </si>
  <si>
    <r>
      <t>PV</t>
    </r>
    <r>
      <rPr>
        <b/>
        <vertAlign val="subscript"/>
        <sz val="11"/>
        <color rgb="FF7030A0"/>
        <rFont val="Calibri"/>
        <family val="2"/>
        <scheme val="minor"/>
      </rPr>
      <t>CV(FCF)</t>
    </r>
  </si>
  <si>
    <r>
      <t>VALUE</t>
    </r>
    <r>
      <rPr>
        <b/>
        <vertAlign val="subscript"/>
        <sz val="11"/>
        <color rgb="FF7030A0"/>
        <rFont val="Calibri"/>
        <family val="2"/>
        <scheme val="minor"/>
      </rPr>
      <t>FCF</t>
    </r>
  </si>
  <si>
    <r>
      <t>PV</t>
    </r>
    <r>
      <rPr>
        <b/>
        <vertAlign val="subscript"/>
        <sz val="11"/>
        <color rgb="FF7030A0"/>
        <rFont val="Calibri"/>
        <family val="2"/>
        <scheme val="minor"/>
      </rPr>
      <t>DCF(TS)</t>
    </r>
  </si>
  <si>
    <r>
      <t>CV</t>
    </r>
    <r>
      <rPr>
        <b/>
        <vertAlign val="subscript"/>
        <sz val="11"/>
        <color rgb="FF7030A0"/>
        <rFont val="Calibri"/>
        <family val="2"/>
        <scheme val="minor"/>
      </rPr>
      <t>TS</t>
    </r>
  </si>
  <si>
    <r>
      <t>PV</t>
    </r>
    <r>
      <rPr>
        <b/>
        <vertAlign val="subscript"/>
        <sz val="11"/>
        <color rgb="FF7030A0"/>
        <rFont val="Calibri"/>
        <family val="2"/>
        <scheme val="minor"/>
      </rPr>
      <t>CV(TS)</t>
    </r>
  </si>
  <si>
    <r>
      <t>VALUE</t>
    </r>
    <r>
      <rPr>
        <b/>
        <vertAlign val="subscript"/>
        <sz val="11"/>
        <color rgb="FF7030A0"/>
        <rFont val="Calibri"/>
        <family val="2"/>
        <scheme val="minor"/>
      </rPr>
      <t>TS</t>
    </r>
  </si>
  <si>
    <r>
      <t>VALUE</t>
    </r>
    <r>
      <rPr>
        <b/>
        <vertAlign val="subscript"/>
        <sz val="11"/>
        <color rgb="FF7030A0"/>
        <rFont val="Calibri"/>
        <family val="2"/>
        <scheme val="minor"/>
      </rPr>
      <t>APV</t>
    </r>
  </si>
  <si>
    <r>
      <t>CV</t>
    </r>
    <r>
      <rPr>
        <b/>
        <vertAlign val="subscript"/>
        <sz val="11"/>
        <color theme="1"/>
        <rFont val="Calibri"/>
        <family val="2"/>
        <scheme val="minor"/>
      </rPr>
      <t>1</t>
    </r>
  </si>
  <si>
    <t>Hurdle Rate</t>
  </si>
  <si>
    <t>DCF/DG (FCF)</t>
  </si>
  <si>
    <t>DCF/KVD (FCF)</t>
  </si>
  <si>
    <r>
      <t>PV</t>
    </r>
    <r>
      <rPr>
        <b/>
        <vertAlign val="subscript"/>
        <sz val="11"/>
        <color rgb="FF0000CC"/>
        <rFont val="Calibri"/>
        <family val="2"/>
        <scheme val="minor"/>
      </rPr>
      <t>DCF(FCF)</t>
    </r>
  </si>
  <si>
    <r>
      <t>Total PV</t>
    </r>
    <r>
      <rPr>
        <b/>
        <vertAlign val="subscript"/>
        <sz val="11"/>
        <color rgb="FF0000CC"/>
        <rFont val="Calibri"/>
        <family val="2"/>
        <scheme val="minor"/>
      </rPr>
      <t>DCF(FCF)</t>
    </r>
  </si>
  <si>
    <r>
      <t>PV</t>
    </r>
    <r>
      <rPr>
        <b/>
        <vertAlign val="subscript"/>
        <sz val="11"/>
        <color rgb="FF0000CC"/>
        <rFont val="Calibri"/>
        <family val="2"/>
        <scheme val="minor"/>
      </rPr>
      <t>DCF</t>
    </r>
  </si>
  <si>
    <r>
      <t>PV</t>
    </r>
    <r>
      <rPr>
        <b/>
        <vertAlign val="subscript"/>
        <sz val="11"/>
        <color rgb="FF0000CC"/>
        <rFont val="Calibri"/>
        <family val="2"/>
        <scheme val="minor"/>
      </rPr>
      <t>CV</t>
    </r>
  </si>
  <si>
    <r>
      <t>g</t>
    </r>
    <r>
      <rPr>
        <b/>
        <vertAlign val="subscript"/>
        <sz val="11"/>
        <color theme="1"/>
        <rFont val="Calibri"/>
        <family val="2"/>
      </rPr>
      <t>LONG</t>
    </r>
  </si>
  <si>
    <r>
      <rPr>
        <b/>
        <sz val="11"/>
        <color theme="1"/>
        <rFont val="Calibri"/>
        <family val="2"/>
      </rPr>
      <t>∆</t>
    </r>
    <r>
      <rPr>
        <b/>
        <sz val="8.8000000000000007"/>
        <color theme="1"/>
        <rFont val="Calibri"/>
        <family val="2"/>
      </rPr>
      <t xml:space="preserve"> </t>
    </r>
    <r>
      <rPr>
        <b/>
        <sz val="11"/>
        <color theme="1"/>
        <rFont val="Calibri"/>
        <family val="2"/>
        <scheme val="minor"/>
      </rPr>
      <t>Interest Expense</t>
    </r>
  </si>
  <si>
    <r>
      <t>Assumed: WACC = k</t>
    </r>
    <r>
      <rPr>
        <b/>
        <vertAlign val="subscript"/>
        <sz val="11"/>
        <color theme="1"/>
        <rFont val="Calibri"/>
        <family val="2"/>
        <scheme val="minor"/>
      </rPr>
      <t>u</t>
    </r>
    <r>
      <rPr>
        <b/>
        <sz val="11"/>
        <color theme="1"/>
        <rFont val="Calibri"/>
        <family val="2"/>
        <scheme val="minor"/>
      </rPr>
      <t xml:space="preserve"> = k</t>
    </r>
    <r>
      <rPr>
        <b/>
        <vertAlign val="subscript"/>
        <sz val="11"/>
        <color theme="1"/>
        <rFont val="Calibri"/>
        <family val="2"/>
        <scheme val="minor"/>
      </rPr>
      <t>tax</t>
    </r>
    <r>
      <rPr>
        <b/>
        <sz val="11"/>
        <color theme="1"/>
        <rFont val="Calibri"/>
        <family val="2"/>
        <scheme val="minor"/>
      </rPr>
      <t xml:space="preserve"> </t>
    </r>
  </si>
  <si>
    <r>
      <t>g</t>
    </r>
    <r>
      <rPr>
        <b/>
        <vertAlign val="subscript"/>
        <sz val="11"/>
        <color indexed="8"/>
        <rFont val="Calibri"/>
        <family val="2"/>
      </rPr>
      <t>LONG</t>
    </r>
  </si>
  <si>
    <r>
      <t>∆</t>
    </r>
    <r>
      <rPr>
        <b/>
        <sz val="8.8000000000000007"/>
        <color indexed="8"/>
        <rFont val="Calibri"/>
        <family val="2"/>
      </rPr>
      <t xml:space="preserve"> </t>
    </r>
    <r>
      <rPr>
        <b/>
        <sz val="11"/>
        <color indexed="8"/>
        <rFont val="Calibri"/>
        <family val="2"/>
        <scheme val="minor"/>
      </rPr>
      <t>Interest Expense</t>
    </r>
  </si>
  <si>
    <r>
      <t>Assumed: WACC = k</t>
    </r>
    <r>
      <rPr>
        <b/>
        <vertAlign val="subscript"/>
        <sz val="11"/>
        <color indexed="8"/>
        <rFont val="Calibri"/>
        <family val="2"/>
        <scheme val="minor"/>
      </rPr>
      <t>u</t>
    </r>
    <r>
      <rPr>
        <b/>
        <sz val="11"/>
        <color indexed="8"/>
        <rFont val="Calibri"/>
        <family val="2"/>
        <scheme val="minor"/>
      </rPr>
      <t xml:space="preserve"> = k</t>
    </r>
    <r>
      <rPr>
        <b/>
        <vertAlign val="subscript"/>
        <sz val="11"/>
        <color indexed="8"/>
        <rFont val="Calibri"/>
        <family val="2"/>
        <scheme val="minor"/>
      </rPr>
      <t>tax</t>
    </r>
    <r>
      <rPr>
        <b/>
        <sz val="11"/>
        <color indexed="8"/>
        <rFont val="Calibri"/>
        <family val="2"/>
        <scheme val="minor"/>
      </rPr>
      <t xml:space="preserve"> </t>
    </r>
  </si>
  <si>
    <r>
      <t>WACC (mkt based, using RE</t>
    </r>
    <r>
      <rPr>
        <vertAlign val="subscript"/>
        <sz val="11"/>
        <color theme="1"/>
        <rFont val="Calibri"/>
        <family val="2"/>
        <scheme val="minor"/>
      </rPr>
      <t>CAPM</t>
    </r>
    <r>
      <rPr>
        <sz val="11"/>
        <color theme="1"/>
        <rFont val="Calibri"/>
        <family val="2"/>
        <scheme val="minor"/>
      </rPr>
      <t>)</t>
    </r>
  </si>
  <si>
    <t>Long-run dividend growth rate</t>
  </si>
  <si>
    <t>Total Stakeholder Capital (Book)</t>
  </si>
  <si>
    <t>Total Stakeholder Capital (Mkt)</t>
  </si>
  <si>
    <t>Capital Components (Market)</t>
  </si>
  <si>
    <t>Interest Bearing Debt (Book)</t>
  </si>
  <si>
    <t>FA</t>
  </si>
  <si>
    <t>IC</t>
  </si>
  <si>
    <t xml:space="preserve">Net Inv = ∆FA + ∆NWC </t>
  </si>
  <si>
    <t>Net Inv = NCS + ∆NWC - Dep</t>
  </si>
  <si>
    <t>FCF = NOPLAT - Net Inv</t>
  </si>
  <si>
    <t>FCF = NOPLAT + Dep - NCS - ∆NWC</t>
  </si>
  <si>
    <t>Average Tax Rate (taxes paid)</t>
  </si>
  <si>
    <t>Average Tax Rate (taxable income)</t>
  </si>
  <si>
    <t>Average Tax Rate  (EBIT)</t>
  </si>
  <si>
    <t>Operating Income (EBIT)</t>
  </si>
  <si>
    <r>
      <t>Net Inv = ∆IC = IC</t>
    </r>
    <r>
      <rPr>
        <b/>
        <vertAlign val="subscript"/>
        <sz val="11"/>
        <color theme="1"/>
        <rFont val="Calibri"/>
        <family val="2"/>
        <scheme val="minor"/>
      </rPr>
      <t>1</t>
    </r>
    <r>
      <rPr>
        <b/>
        <sz val="11"/>
        <color theme="1"/>
        <rFont val="Calibri"/>
        <family val="2"/>
        <scheme val="minor"/>
      </rPr>
      <t>-IC</t>
    </r>
    <r>
      <rPr>
        <b/>
        <vertAlign val="subscript"/>
        <sz val="11"/>
        <color theme="1"/>
        <rFont val="Calibri"/>
        <family val="2"/>
        <scheme val="minor"/>
      </rPr>
      <t>0</t>
    </r>
  </si>
  <si>
    <r>
      <t>2018 US Federal Corporate Income Tax Calculator with State Tax</t>
    </r>
    <r>
      <rPr>
        <b/>
        <vertAlign val="superscript"/>
        <sz val="11"/>
        <color rgb="FF0000FF"/>
        <rFont val="Calibri"/>
        <family val="2"/>
        <scheme val="minor"/>
      </rPr>
      <t>1</t>
    </r>
  </si>
  <si>
    <t>State Corporate Income Tax Rate</t>
  </si>
  <si>
    <t>Subject Income Variable</t>
  </si>
  <si>
    <t>TAX</t>
  </si>
  <si>
    <t>Avg Tax Rate</t>
  </si>
  <si>
    <t>Taxable Income Over</t>
  </si>
  <si>
    <t>But Not Over</t>
  </si>
  <si>
    <t>Tax in bracket</t>
  </si>
  <si>
    <t>Running Total</t>
  </si>
  <si>
    <t>State Tax</t>
  </si>
  <si>
    <t>Total State and Federal Tax</t>
  </si>
  <si>
    <r>
      <rPr>
        <vertAlign val="superscript"/>
        <sz val="11"/>
        <color rgb="FF0000FF"/>
        <rFont val="Calibri"/>
        <family val="2"/>
        <scheme val="minor"/>
      </rPr>
      <t>1</t>
    </r>
    <r>
      <rPr>
        <sz val="11"/>
        <color rgb="FF0000FF"/>
        <rFont val="Calibri"/>
        <family val="2"/>
        <scheme val="minor"/>
      </rPr>
      <t xml:space="preserve"> State corporate income tax percentage must be input as indicated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</si>
</sst>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3" formatCode="_(* #,##0.00_);_(* \(#,##0.00\);_(* &quot;-&quot;??_);_(@_)"/>
    <numFmt numFmtId="164" formatCode="0.0000"/>
    <numFmt numFmtId="165" formatCode="0.000"/>
    <numFmt numFmtId="166" formatCode="_(* #,##0.000_);_(* \(#,##0.000\);_(* &quot;-&quot;??_);_(@_)"/>
    <numFmt numFmtId="167" formatCode="_(* #,##0_);_(* \(#,##0\);_(* &quot;-&quot;??_);_(@_)"/>
    <numFmt numFmtId="168" formatCode="0.000%"/>
    <numFmt numFmtId="169" formatCode="_(* #,##0.0000_);_(* \(#,##0.0000\);_(* &quot;-&quot;??_);_(@_)"/>
  </numFmts>
  <fonts count="36" x14ac:knownFonts="1">
    <font>
      <sz val="11"/>
      <color theme="1"/>
      <name val="Calibri"/>
      <family val="2"/>
      <scheme val="minor"/>
    </font>
    <font>
      <sz val="11"/>
      <color theme="1"/>
      <name val="Calibri"/>
      <family val="2"/>
    </font>
    <font>
      <b/>
      <sz val="11"/>
      <color theme="1"/>
      <name val="Calibri"/>
      <family val="2"/>
      <scheme val="minor"/>
    </font>
    <font>
      <b/>
      <sz val="11"/>
      <color theme="1"/>
      <name val="Calibri"/>
      <family val="2"/>
    </font>
    <font>
      <vertAlign val="subscript"/>
      <sz val="11"/>
      <color theme="1"/>
      <name val="Calibri"/>
      <family val="2"/>
      <scheme val="minor"/>
    </font>
    <font>
      <sz val="11"/>
      <color rgb="FFFF0000"/>
      <name val="Calibri"/>
      <family val="2"/>
      <scheme val="minor"/>
    </font>
    <font>
      <b/>
      <vertAlign val="subscript"/>
      <sz val="11"/>
      <color theme="1"/>
      <name val="Calibri"/>
      <family val="2"/>
      <scheme val="minor"/>
    </font>
    <font>
      <b/>
      <sz val="11"/>
      <color rgb="FFFF0000"/>
      <name val="Calibri"/>
      <family val="2"/>
      <scheme val="minor"/>
    </font>
    <font>
      <b/>
      <sz val="11"/>
      <name val="Calibri"/>
      <family val="2"/>
    </font>
    <font>
      <b/>
      <sz val="11"/>
      <name val="Calibri"/>
      <family val="2"/>
      <scheme val="minor"/>
    </font>
    <font>
      <b/>
      <vertAlign val="subscript"/>
      <sz val="11"/>
      <color rgb="FFFF0000"/>
      <name val="Calibri"/>
      <family val="2"/>
      <scheme val="minor"/>
    </font>
    <font>
      <sz val="11"/>
      <color rgb="FF7030A0"/>
      <name val="Calibri"/>
      <family val="2"/>
      <scheme val="minor"/>
    </font>
    <font>
      <b/>
      <sz val="11"/>
      <color rgb="FF7030A0"/>
      <name val="Calibri"/>
      <family val="2"/>
      <scheme val="minor"/>
    </font>
    <font>
      <b/>
      <vertAlign val="subscript"/>
      <sz val="11"/>
      <color rgb="FF7030A0"/>
      <name val="Calibri"/>
      <family val="2"/>
      <scheme val="minor"/>
    </font>
    <font>
      <b/>
      <sz val="11"/>
      <color rgb="FF0000CC"/>
      <name val="Calibri"/>
      <family val="2"/>
      <scheme val="minor"/>
    </font>
    <font>
      <b/>
      <vertAlign val="subscript"/>
      <sz val="11"/>
      <color rgb="FF0000CC"/>
      <name val="Calibri"/>
      <family val="2"/>
      <scheme val="minor"/>
    </font>
    <font>
      <b/>
      <vertAlign val="subscript"/>
      <sz val="11"/>
      <color rgb="FFFF0000"/>
      <name val="Calibri"/>
      <family val="2"/>
    </font>
    <font>
      <b/>
      <sz val="11"/>
      <color rgb="FF008000"/>
      <name val="Calibri"/>
      <family val="2"/>
      <scheme val="minor"/>
    </font>
    <font>
      <b/>
      <vertAlign val="subscript"/>
      <sz val="11"/>
      <color rgb="FF008000"/>
      <name val="Calibri"/>
      <family val="2"/>
      <scheme val="minor"/>
    </font>
    <font>
      <sz val="11"/>
      <color rgb="FF008000"/>
      <name val="Calibri"/>
      <family val="2"/>
      <scheme val="minor"/>
    </font>
    <font>
      <sz val="11"/>
      <color theme="1"/>
      <name val="Calibri"/>
      <family val="2"/>
      <scheme val="minor"/>
    </font>
    <font>
      <b/>
      <sz val="11"/>
      <color rgb="FFFF0000"/>
      <name val="Calibri"/>
      <family val="2"/>
    </font>
    <font>
      <i/>
      <sz val="11"/>
      <color theme="1"/>
      <name val="Calibri"/>
      <family val="2"/>
      <scheme val="minor"/>
    </font>
    <font>
      <b/>
      <vertAlign val="subscript"/>
      <sz val="11"/>
      <name val="Calibri"/>
      <family val="2"/>
      <scheme val="minor"/>
    </font>
    <font>
      <sz val="11"/>
      <color rgb="FF0000CC"/>
      <name val="Calibri"/>
      <family val="2"/>
      <scheme val="minor"/>
    </font>
    <font>
      <b/>
      <sz val="11"/>
      <color indexed="8"/>
      <name val="Calibri"/>
      <family val="2"/>
      <scheme val="minor"/>
    </font>
    <font>
      <b/>
      <vertAlign val="subscript"/>
      <sz val="11"/>
      <color theme="1"/>
      <name val="Calibri"/>
      <family val="2"/>
    </font>
    <font>
      <b/>
      <sz val="8.8000000000000007"/>
      <color theme="1"/>
      <name val="Calibri"/>
      <family val="2"/>
    </font>
    <font>
      <b/>
      <sz val="11"/>
      <color indexed="8"/>
      <name val="Calibri"/>
      <family val="2"/>
    </font>
    <font>
      <b/>
      <vertAlign val="subscript"/>
      <sz val="11"/>
      <color indexed="8"/>
      <name val="Calibri"/>
      <family val="2"/>
    </font>
    <font>
      <b/>
      <sz val="8.8000000000000007"/>
      <color indexed="8"/>
      <name val="Calibri"/>
      <family val="2"/>
    </font>
    <font>
      <b/>
      <vertAlign val="subscript"/>
      <sz val="11"/>
      <color indexed="8"/>
      <name val="Calibri"/>
      <family val="2"/>
      <scheme val="minor"/>
    </font>
    <font>
      <b/>
      <sz val="11"/>
      <color rgb="FF0000FF"/>
      <name val="Calibri"/>
      <family val="2"/>
      <scheme val="minor"/>
    </font>
    <font>
      <b/>
      <vertAlign val="superscript"/>
      <sz val="11"/>
      <color rgb="FF0000FF"/>
      <name val="Calibri"/>
      <family val="2"/>
      <scheme val="minor"/>
    </font>
    <font>
      <sz val="11"/>
      <color rgb="FF0000FF"/>
      <name val="Calibri"/>
      <family val="2"/>
      <scheme val="minor"/>
    </font>
    <font>
      <vertAlign val="superscript"/>
      <sz val="11"/>
      <color rgb="FF0000FF"/>
      <name val="Calibri"/>
      <family val="2"/>
      <scheme val="minor"/>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172">
    <xf numFmtId="0" fontId="0" fillId="0" borderId="0" xfId="0"/>
    <xf numFmtId="1" fontId="0" fillId="0" borderId="0" xfId="0" applyNumberFormat="1"/>
    <xf numFmtId="0" fontId="0" fillId="0" borderId="0" xfId="0" applyAlignment="1">
      <alignment horizontal="center" wrapText="1"/>
    </xf>
    <xf numFmtId="0" fontId="0" fillId="0" borderId="0" xfId="0" applyAlignment="1">
      <alignment horizontal="center" vertical="top"/>
    </xf>
    <xf numFmtId="1" fontId="0" fillId="0" borderId="0" xfId="0" applyNumberFormat="1" applyAlignment="1">
      <alignment horizontal="center" vertical="top"/>
    </xf>
    <xf numFmtId="164" fontId="0" fillId="0" borderId="0" xfId="0" applyNumberFormat="1"/>
    <xf numFmtId="0" fontId="0" fillId="0" borderId="0" xfId="0" applyAlignment="1">
      <alignment horizontal="right"/>
    </xf>
    <xf numFmtId="164" fontId="0" fillId="0" borderId="0" xfId="0" applyNumberFormat="1" applyAlignment="1">
      <alignment horizontal="center" wrapText="1"/>
    </xf>
    <xf numFmtId="0" fontId="0" fillId="0" borderId="0" xfId="0" applyAlignment="1">
      <alignment horizontal="left"/>
    </xf>
    <xf numFmtId="0" fontId="2" fillId="0" borderId="0" xfId="0" applyFont="1" applyAlignment="1">
      <alignment horizontal="center" wrapText="1"/>
    </xf>
    <xf numFmtId="0" fontId="3" fillId="0" borderId="0" xfId="0" applyFont="1" applyAlignment="1">
      <alignment horizontal="center" wrapText="1"/>
    </xf>
    <xf numFmtId="2" fontId="0" fillId="0" borderId="0" xfId="0" applyNumberFormat="1" applyBorder="1"/>
    <xf numFmtId="0" fontId="0" fillId="0" borderId="0" xfId="0" applyAlignment="1">
      <alignment horizontal="center" wrapText="1"/>
    </xf>
    <xf numFmtId="165" fontId="0" fillId="0" borderId="0" xfId="0" applyNumberFormat="1" applyAlignment="1">
      <alignment horizontal="center" vertical="top"/>
    </xf>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
    </xf>
    <xf numFmtId="1" fontId="5" fillId="0" borderId="0" xfId="0" applyNumberFormat="1" applyFont="1"/>
    <xf numFmtId="0" fontId="5" fillId="0" borderId="0" xfId="0" applyFont="1"/>
    <xf numFmtId="2" fontId="5" fillId="0" borderId="0" xfId="0" applyNumberFormat="1" applyFont="1"/>
    <xf numFmtId="0" fontId="7" fillId="0" borderId="0" xfId="0" applyFont="1" applyAlignment="1">
      <alignment horizontal="center" wrapText="1"/>
    </xf>
    <xf numFmtId="164" fontId="5" fillId="0" borderId="0" xfId="0" applyNumberFormat="1" applyFont="1"/>
    <xf numFmtId="0" fontId="0" fillId="0" borderId="0" xfId="0" applyAlignment="1"/>
    <xf numFmtId="165" fontId="0" fillId="0" borderId="0" xfId="0" applyNumberFormat="1" applyAlignment="1">
      <alignment horizontal="center"/>
    </xf>
    <xf numFmtId="1" fontId="0" fillId="0" borderId="0" xfId="0" applyNumberFormat="1" applyAlignment="1">
      <alignment horizontal="center"/>
    </xf>
    <xf numFmtId="2" fontId="0" fillId="0" borderId="0" xfId="0" applyNumberFormat="1" applyBorder="1" applyAlignment="1">
      <alignment horizontal="center"/>
    </xf>
    <xf numFmtId="2" fontId="0" fillId="0" borderId="0" xfId="0" applyNumberFormat="1" applyAlignment="1">
      <alignment horizontal="center"/>
    </xf>
    <xf numFmtId="165" fontId="0" fillId="0" borderId="0" xfId="0" applyNumberFormat="1" applyBorder="1" applyAlignment="1">
      <alignment horizontal="center"/>
    </xf>
    <xf numFmtId="0" fontId="8" fillId="0" borderId="0" xfId="0" applyFont="1" applyAlignment="1">
      <alignment horizontal="center" wrapText="1"/>
    </xf>
    <xf numFmtId="165" fontId="5" fillId="0" borderId="0" xfId="0" applyNumberFormat="1" applyFont="1"/>
    <xf numFmtId="1" fontId="11" fillId="0" borderId="0" xfId="0" applyNumberFormat="1" applyFont="1" applyAlignment="1">
      <alignment horizontal="center"/>
    </xf>
    <xf numFmtId="0" fontId="11" fillId="0" borderId="0" xfId="0" applyFont="1" applyAlignment="1">
      <alignment horizontal="center"/>
    </xf>
    <xf numFmtId="2" fontId="11" fillId="0" borderId="0" xfId="0" applyNumberFormat="1" applyFont="1" applyAlignment="1">
      <alignment horizontal="center"/>
    </xf>
    <xf numFmtId="2" fontId="11" fillId="0" borderId="0" xfId="0" applyNumberFormat="1" applyFont="1" applyBorder="1" applyAlignment="1">
      <alignment horizontal="center"/>
    </xf>
    <xf numFmtId="165" fontId="12" fillId="0" borderId="0" xfId="0" applyNumberFormat="1" applyFont="1" applyBorder="1" applyAlignment="1">
      <alignment horizontal="center"/>
    </xf>
    <xf numFmtId="0" fontId="11" fillId="0" borderId="0" xfId="0" applyFont="1"/>
    <xf numFmtId="2" fontId="11" fillId="0" borderId="0" xfId="0" applyNumberFormat="1" applyFont="1"/>
    <xf numFmtId="0" fontId="12" fillId="0" borderId="0" xfId="0" applyFont="1"/>
    <xf numFmtId="0" fontId="7" fillId="0" borderId="0" xfId="0" applyFont="1"/>
    <xf numFmtId="2" fontId="2" fillId="0" borderId="0" xfId="0" applyNumberFormat="1" applyFont="1" applyBorder="1" applyAlignment="1">
      <alignment horizontal="center"/>
    </xf>
    <xf numFmtId="0" fontId="2" fillId="0" borderId="0" xfId="0" applyFont="1"/>
    <xf numFmtId="0" fontId="2" fillId="0" borderId="0" xfId="0" applyFont="1" applyAlignment="1">
      <alignment horizontal="center"/>
    </xf>
    <xf numFmtId="0" fontId="2" fillId="0" borderId="0" xfId="0" applyFont="1" applyAlignment="1"/>
    <xf numFmtId="0" fontId="12" fillId="0" borderId="0" xfId="0" applyFont="1" applyAlignment="1">
      <alignment horizontal="center"/>
    </xf>
    <xf numFmtId="0" fontId="17" fillId="0" borderId="0" xfId="0" applyFont="1" applyAlignment="1">
      <alignment horizontal="center" wrapText="1"/>
    </xf>
    <xf numFmtId="165" fontId="19" fillId="0" borderId="0" xfId="0" applyNumberFormat="1" applyFont="1"/>
    <xf numFmtId="0" fontId="19" fillId="0" borderId="0" xfId="0" applyFont="1"/>
    <xf numFmtId="2" fontId="19" fillId="0" borderId="0" xfId="0" applyNumberFormat="1" applyFont="1"/>
    <xf numFmtId="164" fontId="19" fillId="0" borderId="0" xfId="0" applyNumberFormat="1" applyFont="1"/>
    <xf numFmtId="0" fontId="5" fillId="0" borderId="0" xfId="0" applyFont="1" applyAlignment="1">
      <alignment horizontal="center"/>
    </xf>
    <xf numFmtId="2" fontId="5" fillId="0" borderId="0" xfId="0" applyNumberFormat="1" applyFont="1" applyAlignment="1">
      <alignment horizontal="center"/>
    </xf>
    <xf numFmtId="0" fontId="17" fillId="0" borderId="0" xfId="0" applyFont="1"/>
    <xf numFmtId="165" fontId="0" fillId="0" borderId="0" xfId="0" applyNumberFormat="1"/>
    <xf numFmtId="0" fontId="2" fillId="0" borderId="0" xfId="0" applyFont="1" applyAlignment="1">
      <alignment horizontal="center"/>
    </xf>
    <xf numFmtId="0" fontId="12" fillId="0" borderId="0" xfId="0" applyFont="1" applyAlignment="1">
      <alignment horizontal="center" wrapText="1"/>
    </xf>
    <xf numFmtId="165" fontId="11" fillId="0" borderId="0" xfId="0" applyNumberFormat="1" applyFont="1" applyAlignment="1">
      <alignment horizontal="center"/>
    </xf>
    <xf numFmtId="0" fontId="0" fillId="0" borderId="0" xfId="0" applyAlignment="1">
      <alignment wrapText="1"/>
    </xf>
    <xf numFmtId="2" fontId="0" fillId="0" borderId="0" xfId="0" applyNumberFormat="1"/>
    <xf numFmtId="0" fontId="0" fillId="0" borderId="4" xfId="0" applyBorder="1"/>
    <xf numFmtId="0" fontId="0" fillId="0" borderId="0" xfId="0" applyBorder="1"/>
    <xf numFmtId="0" fontId="0" fillId="0" borderId="5" xfId="0" applyBorder="1"/>
    <xf numFmtId="0" fontId="2" fillId="0" borderId="0" xfId="0" applyFont="1" applyBorder="1"/>
    <xf numFmtId="0" fontId="2" fillId="0" borderId="5" xfId="0" applyFont="1" applyBorder="1"/>
    <xf numFmtId="166" fontId="0" fillId="0" borderId="0" xfId="0" applyNumberFormat="1" applyBorder="1"/>
    <xf numFmtId="166" fontId="0" fillId="0" borderId="0" xfId="1" applyNumberFormat="1" applyFont="1" applyBorder="1"/>
    <xf numFmtId="166" fontId="0" fillId="0" borderId="5" xfId="1" applyNumberFormat="1" applyFont="1" applyBorder="1"/>
    <xf numFmtId="165" fontId="0" fillId="0" borderId="0" xfId="0" applyNumberFormat="1" applyBorder="1"/>
    <xf numFmtId="165" fontId="0" fillId="0" borderId="5" xfId="1" applyNumberFormat="1" applyFont="1" applyBorder="1"/>
    <xf numFmtId="166" fontId="0" fillId="0" borderId="6" xfId="1" applyNumberFormat="1" applyFont="1" applyBorder="1"/>
    <xf numFmtId="166" fontId="0" fillId="0" borderId="7" xfId="1" applyNumberFormat="1" applyFont="1" applyBorder="1"/>
    <xf numFmtId="165" fontId="0" fillId="0" borderId="0" xfId="0" applyNumberFormat="1" applyFill="1" applyBorder="1"/>
    <xf numFmtId="165" fontId="0" fillId="0" borderId="5" xfId="0" applyNumberFormat="1" applyBorder="1"/>
    <xf numFmtId="165" fontId="0" fillId="0" borderId="6" xfId="0" applyNumberFormat="1" applyFill="1" applyBorder="1"/>
    <xf numFmtId="165" fontId="0" fillId="0" borderId="7" xfId="0" applyNumberFormat="1" applyBorder="1"/>
    <xf numFmtId="165" fontId="0" fillId="0" borderId="0" xfId="1" applyNumberFormat="1" applyFont="1" applyBorder="1"/>
    <xf numFmtId="166" fontId="0" fillId="0" borderId="0" xfId="0" applyNumberFormat="1" applyFill="1" applyBorder="1"/>
    <xf numFmtId="0" fontId="0" fillId="0" borderId="0" xfId="0" applyFill="1" applyBorder="1"/>
    <xf numFmtId="165" fontId="0" fillId="0" borderId="6" xfId="0" applyNumberFormat="1" applyBorder="1"/>
    <xf numFmtId="165" fontId="0" fillId="0" borderId="7" xfId="1" applyNumberFormat="1" applyFont="1" applyBorder="1"/>
    <xf numFmtId="166" fontId="0" fillId="0" borderId="0" xfId="0" applyNumberFormat="1"/>
    <xf numFmtId="165" fontId="0" fillId="0" borderId="5" xfId="1" quotePrefix="1" applyNumberFormat="1" applyFont="1" applyBorder="1"/>
    <xf numFmtId="0" fontId="0" fillId="0" borderId="8" xfId="0" applyBorder="1"/>
    <xf numFmtId="166" fontId="0" fillId="0" borderId="6" xfId="0" applyNumberFormat="1" applyBorder="1"/>
    <xf numFmtId="165" fontId="0" fillId="0" borderId="3" xfId="0" applyNumberFormat="1" applyBorder="1"/>
    <xf numFmtId="166" fontId="0" fillId="0" borderId="4" xfId="0" applyNumberFormat="1" applyBorder="1"/>
    <xf numFmtId="0" fontId="2" fillId="0" borderId="0" xfId="1" applyNumberFormat="1" applyFont="1" applyBorder="1"/>
    <xf numFmtId="0" fontId="2" fillId="0" borderId="5" xfId="1" applyNumberFormat="1" applyFont="1" applyBorder="1"/>
    <xf numFmtId="165" fontId="0" fillId="0" borderId="9" xfId="1" applyNumberFormat="1" applyFont="1" applyBorder="1"/>
    <xf numFmtId="165" fontId="0" fillId="0" borderId="10" xfId="1" applyNumberFormat="1" applyFont="1" applyBorder="1"/>
    <xf numFmtId="166" fontId="0" fillId="0" borderId="5" xfId="0" applyNumberFormat="1" applyBorder="1"/>
    <xf numFmtId="166" fontId="0" fillId="0" borderId="7" xfId="0" applyNumberFormat="1" applyBorder="1"/>
    <xf numFmtId="0" fontId="0" fillId="0" borderId="6" xfId="0" applyBorder="1"/>
    <xf numFmtId="43" fontId="0" fillId="0" borderId="0" xfId="0" applyNumberFormat="1"/>
    <xf numFmtId="167" fontId="0" fillId="0" borderId="0" xfId="0" applyNumberFormat="1"/>
    <xf numFmtId="164" fontId="0" fillId="0" borderId="0" xfId="2" applyNumberFormat="1" applyFont="1"/>
    <xf numFmtId="10" fontId="0" fillId="0" borderId="0" xfId="2" applyNumberFormat="1" applyFont="1"/>
    <xf numFmtId="0" fontId="1" fillId="0" borderId="0" xfId="0" applyFont="1"/>
    <xf numFmtId="43" fontId="0" fillId="0" borderId="0" xfId="0" applyNumberFormat="1" applyFill="1"/>
    <xf numFmtId="0" fontId="0" fillId="0" borderId="0" xfId="0" applyNumberFormat="1"/>
    <xf numFmtId="168" fontId="0" fillId="0" borderId="0" xfId="2" applyNumberFormat="1" applyFont="1"/>
    <xf numFmtId="164" fontId="0" fillId="0" borderId="0" xfId="2" quotePrefix="1" applyNumberFormat="1" applyFont="1" applyAlignment="1">
      <alignment horizontal="right"/>
    </xf>
    <xf numFmtId="168" fontId="0" fillId="0" borderId="0" xfId="0" applyNumberFormat="1"/>
    <xf numFmtId="169" fontId="0" fillId="0" borderId="0" xfId="0" applyNumberFormat="1"/>
    <xf numFmtId="0" fontId="7" fillId="0" borderId="0" xfId="0" applyFont="1" applyAlignment="1">
      <alignment vertical="center"/>
    </xf>
    <xf numFmtId="166" fontId="0" fillId="0" borderId="0" xfId="1" applyNumberFormat="1" applyFont="1"/>
    <xf numFmtId="8" fontId="0" fillId="0" borderId="0" xfId="0" applyNumberFormat="1"/>
    <xf numFmtId="43" fontId="0" fillId="0" borderId="0" xfId="1" applyFont="1"/>
    <xf numFmtId="0" fontId="2" fillId="0" borderId="0" xfId="0" applyFont="1" applyAlignment="1">
      <alignment horizontal="right"/>
    </xf>
    <xf numFmtId="0" fontId="0" fillId="0" borderId="0" xfId="0" applyAlignment="1">
      <alignment horizontal="center"/>
    </xf>
    <xf numFmtId="0" fontId="2" fillId="0" borderId="0" xfId="0" applyFont="1" applyAlignment="1">
      <alignment horizontal="center"/>
    </xf>
    <xf numFmtId="0" fontId="0" fillId="0" borderId="0" xfId="0" applyAlignment="1">
      <alignment horizontal="right"/>
    </xf>
    <xf numFmtId="0" fontId="12"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vertical="center"/>
    </xf>
    <xf numFmtId="165" fontId="12" fillId="0" borderId="0" xfId="0" applyNumberFormat="1" applyFont="1" applyBorder="1" applyAlignment="1">
      <alignment horizontal="center" vertical="center"/>
    </xf>
    <xf numFmtId="0" fontId="9" fillId="0" borderId="0" xfId="0" applyFont="1" applyAlignment="1">
      <alignment horizontal="center" wrapText="1"/>
    </xf>
    <xf numFmtId="10" fontId="0" fillId="0" borderId="0" xfId="2" applyNumberFormat="1" applyFont="1" applyAlignment="1">
      <alignment horizontal="right"/>
    </xf>
    <xf numFmtId="10" fontId="0" fillId="0" borderId="0" xfId="2" applyNumberFormat="1" applyFont="1" applyAlignment="1">
      <alignment horizontal="center"/>
    </xf>
    <xf numFmtId="10" fontId="5" fillId="0" borderId="0" xfId="2" applyNumberFormat="1" applyFont="1"/>
    <xf numFmtId="165" fontId="5" fillId="0" borderId="0" xfId="0" applyNumberFormat="1" applyFont="1" applyAlignment="1">
      <alignment horizontal="center"/>
    </xf>
    <xf numFmtId="10" fontId="0" fillId="0" borderId="0" xfId="2" applyNumberFormat="1" applyFont="1" applyAlignment="1">
      <alignment horizontal="center" wrapText="1"/>
    </xf>
    <xf numFmtId="10" fontId="0" fillId="0" borderId="0" xfId="2" applyNumberFormat="1" applyFont="1" applyAlignment="1">
      <alignment horizontal="center" vertical="top"/>
    </xf>
    <xf numFmtId="43"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24" fillId="0" borderId="0" xfId="0" applyFont="1"/>
    <xf numFmtId="165" fontId="24" fillId="0" borderId="0" xfId="0" applyNumberFormat="1" applyFont="1"/>
    <xf numFmtId="2" fontId="24" fillId="0" borderId="0" xfId="0" applyNumberFormat="1" applyFont="1" applyAlignment="1">
      <alignment horizontal="center"/>
    </xf>
    <xf numFmtId="0" fontId="14" fillId="0" borderId="0" xfId="0" applyFont="1"/>
    <xf numFmtId="0" fontId="14" fillId="0" borderId="0" xfId="0" applyFont="1" applyAlignment="1"/>
    <xf numFmtId="0" fontId="25" fillId="0" borderId="0" xfId="0" applyFont="1"/>
    <xf numFmtId="0" fontId="25" fillId="0" borderId="0" xfId="0" applyFont="1" applyAlignment="1">
      <alignment horizontal="center" wrapText="1"/>
    </xf>
    <xf numFmtId="0" fontId="12" fillId="0" borderId="0" xfId="0" applyFont="1" applyAlignment="1">
      <alignment horizontal="left"/>
    </xf>
    <xf numFmtId="10" fontId="0" fillId="0" borderId="6" xfId="2" applyNumberFormat="1" applyFont="1" applyBorder="1"/>
    <xf numFmtId="168" fontId="0" fillId="0" borderId="0" xfId="2" applyNumberFormat="1" applyFont="1" applyAlignment="1">
      <alignment horizontal="center"/>
    </xf>
    <xf numFmtId="0" fontId="2" fillId="0" borderId="0" xfId="0" applyFont="1" applyAlignment="1">
      <alignment horizontal="center"/>
    </xf>
    <xf numFmtId="0" fontId="2" fillId="0" borderId="0" xfId="0" applyFont="1" applyAlignment="1">
      <alignment horizontal="right" wrapText="1"/>
    </xf>
    <xf numFmtId="0" fontId="2" fillId="0" borderId="0" xfId="0" applyFont="1" applyAlignment="1">
      <alignment horizontal="right"/>
    </xf>
    <xf numFmtId="43" fontId="0" fillId="0" borderId="0" xfId="1" applyFont="1" applyAlignment="1">
      <alignment horizontal="right"/>
    </xf>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166" fontId="2" fillId="0" borderId="1" xfId="0" applyNumberFormat="1" applyFont="1" applyBorder="1" applyAlignment="1">
      <alignment horizontal="center"/>
    </xf>
    <xf numFmtId="166" fontId="2" fillId="0" borderId="2" xfId="0" applyNumberFormat="1" applyFont="1" applyBorder="1" applyAlignment="1">
      <alignment horizontal="center"/>
    </xf>
    <xf numFmtId="166" fontId="2" fillId="0" borderId="3" xfId="0" applyNumberFormat="1" applyFont="1" applyBorder="1" applyAlignment="1">
      <alignment horizontal="center"/>
    </xf>
    <xf numFmtId="166" fontId="0" fillId="0" borderId="0" xfId="0" applyNumberFormat="1" applyBorder="1" applyAlignment="1">
      <alignment horizontal="left"/>
    </xf>
    <xf numFmtId="166" fontId="0" fillId="0" borderId="0" xfId="0" applyNumberFormat="1" applyFill="1" applyBorder="1" applyAlignment="1">
      <alignment horizontal="left" wrapText="1"/>
    </xf>
    <xf numFmtId="0" fontId="7"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textRotation="180"/>
    </xf>
    <xf numFmtId="0" fontId="3"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wrapText="1"/>
    </xf>
    <xf numFmtId="0" fontId="12" fillId="0" borderId="0" xfId="0" applyFont="1" applyAlignment="1">
      <alignment horizontal="center" vertical="center"/>
    </xf>
    <xf numFmtId="0" fontId="2" fillId="0" borderId="0" xfId="0" applyFont="1" applyAlignment="1">
      <alignment horizontal="center" vertical="center" wrapText="1"/>
    </xf>
    <xf numFmtId="0" fontId="14" fillId="0" borderId="0" xfId="0" applyFont="1" applyAlignment="1">
      <alignment horizontal="center" vertical="center" wrapText="1"/>
    </xf>
    <xf numFmtId="0" fontId="1" fillId="0" borderId="0" xfId="0" applyFont="1" applyAlignment="1">
      <alignment horizontal="right"/>
    </xf>
    <xf numFmtId="0" fontId="25" fillId="0" borderId="0" xfId="0" applyFont="1" applyAlignment="1">
      <alignment horizontal="right"/>
    </xf>
    <xf numFmtId="0" fontId="28" fillId="0" borderId="0" xfId="0" applyFont="1" applyAlignment="1">
      <alignment horizontal="right"/>
    </xf>
    <xf numFmtId="0" fontId="25" fillId="0" borderId="0" xfId="0" applyFont="1" applyAlignment="1">
      <alignment horizontal="right" wrapText="1"/>
    </xf>
    <xf numFmtId="0" fontId="32" fillId="0" borderId="0" xfId="0" applyFont="1" applyAlignment="1">
      <alignment horizontal="center"/>
    </xf>
    <xf numFmtId="0" fontId="2" fillId="0" borderId="0" xfId="0" applyFont="1" applyAlignment="1">
      <alignment wrapText="1"/>
    </xf>
    <xf numFmtId="9" fontId="0" fillId="0" borderId="0" xfId="2" applyFont="1" applyAlignment="1">
      <alignment horizontal="center"/>
    </xf>
    <xf numFmtId="43" fontId="0" fillId="0" borderId="0" xfId="0" applyNumberFormat="1" applyAlignment="1">
      <alignment horizontal="right"/>
    </xf>
    <xf numFmtId="167" fontId="0" fillId="0" borderId="0" xfId="1" applyNumberFormat="1" applyFont="1"/>
    <xf numFmtId="167" fontId="2" fillId="0" borderId="0" xfId="1" applyNumberFormat="1" applyFont="1"/>
    <xf numFmtId="2" fontId="34" fillId="0" borderId="0" xfId="0" applyNumberFormat="1"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47625</xdr:colOff>
      <xdr:row>2</xdr:row>
      <xdr:rowOff>142874</xdr:rowOff>
    </xdr:from>
    <xdr:ext cx="3357563" cy="1952625"/>
    <xdr:sp macro="" textlink="">
      <xdr:nvSpPr>
        <xdr:cNvPr id="2" name="TextBox 1"/>
        <xdr:cNvSpPr txBox="1"/>
      </xdr:nvSpPr>
      <xdr:spPr>
        <a:xfrm>
          <a:off x="13096875" y="523874"/>
          <a:ext cx="3357563" cy="19526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rgbClr val="0000CC"/>
              </a:solidFill>
            </a:rPr>
            <a:t>The Book Value construction in this worksheet includes the</a:t>
          </a:r>
          <a:r>
            <a:rPr lang="en-US" sz="1100" b="1" baseline="0">
              <a:solidFill>
                <a:srgbClr val="0000CC"/>
              </a:solidFill>
            </a:rPr>
            <a:t> value of the firm's capital components at their book values.   It uses Int Paid</a:t>
          </a:r>
          <a:r>
            <a:rPr lang="en-US" sz="1100" b="1" baseline="-25000">
              <a:solidFill>
                <a:srgbClr val="0000CC"/>
              </a:solidFill>
            </a:rPr>
            <a:t>1</a:t>
          </a:r>
          <a:r>
            <a:rPr lang="en-US" sz="1100" b="1" baseline="0">
              <a:solidFill>
                <a:srgbClr val="0000CC"/>
              </a:solidFill>
            </a:rPr>
            <a:t>/Debt</a:t>
          </a:r>
          <a:r>
            <a:rPr lang="en-US" sz="1100" b="1" baseline="-25000">
              <a:solidFill>
                <a:srgbClr val="0000CC"/>
              </a:solidFill>
            </a:rPr>
            <a:t>0</a:t>
          </a:r>
          <a:r>
            <a:rPr lang="en-US" sz="1100" b="1" baseline="0">
              <a:solidFill>
                <a:srgbClr val="0000CC"/>
              </a:solidFill>
            </a:rPr>
            <a:t> for RD (cost of debt) and takes RP (cost of preferred) as Pref Div/Book Val Pref.  Even though R</a:t>
          </a:r>
          <a:r>
            <a:rPr lang="en-US" sz="1100" b="1" baseline="-25000">
              <a:solidFill>
                <a:srgbClr val="0000CC"/>
              </a:solidFill>
            </a:rPr>
            <a:t>E</a:t>
          </a:r>
          <a:r>
            <a:rPr lang="en-US" sz="1100" b="1" baseline="0">
              <a:solidFill>
                <a:srgbClr val="0000CC"/>
              </a:solidFill>
            </a:rPr>
            <a:t> is calculated through the CAPM equation, the book value of common is used in the weighting.  This changes WACC and the various valuations substantially, but leaves most of the rest of the worksheet unchanged.</a:t>
          </a:r>
          <a:endParaRPr lang="en-US" sz="1100" baseline="0">
            <a:solidFill>
              <a:srgbClr val="0000CC"/>
            </a:solidFill>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20</xdr:col>
      <xdr:colOff>273843</xdr:colOff>
      <xdr:row>2</xdr:row>
      <xdr:rowOff>154782</xdr:rowOff>
    </xdr:from>
    <xdr:ext cx="3357563" cy="1952625"/>
    <xdr:sp macro="" textlink="">
      <xdr:nvSpPr>
        <xdr:cNvPr id="2" name="TextBox 1"/>
        <xdr:cNvSpPr txBox="1"/>
      </xdr:nvSpPr>
      <xdr:spPr>
        <a:xfrm>
          <a:off x="13323093" y="535782"/>
          <a:ext cx="3357563" cy="19526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rgbClr val="0000CC"/>
              </a:solidFill>
            </a:rPr>
            <a:t>The Quasi</a:t>
          </a:r>
          <a:r>
            <a:rPr lang="en-US" sz="1100" b="1" baseline="0">
              <a:solidFill>
                <a:srgbClr val="0000CC"/>
              </a:solidFill>
            </a:rPr>
            <a:t> Market </a:t>
          </a:r>
          <a:r>
            <a:rPr lang="en-US" sz="1100" b="1">
              <a:solidFill>
                <a:srgbClr val="0000CC"/>
              </a:solidFill>
            </a:rPr>
            <a:t>Value construction in this worksheet includes some of the firm's capital</a:t>
          </a:r>
          <a:r>
            <a:rPr lang="en-US" sz="1100" b="1" baseline="0">
              <a:solidFill>
                <a:srgbClr val="0000CC"/>
              </a:solidFill>
            </a:rPr>
            <a:t> componenets at their book value (Preferred, Debt) and Common stock at its market cap.   It uses Int Paid</a:t>
          </a:r>
          <a:r>
            <a:rPr lang="en-US" sz="1100" b="1" baseline="-25000">
              <a:solidFill>
                <a:srgbClr val="0000CC"/>
              </a:solidFill>
            </a:rPr>
            <a:t>1</a:t>
          </a:r>
          <a:r>
            <a:rPr lang="en-US" sz="1100" b="1" baseline="0">
              <a:solidFill>
                <a:srgbClr val="0000CC"/>
              </a:solidFill>
            </a:rPr>
            <a:t>/Debt</a:t>
          </a:r>
          <a:r>
            <a:rPr lang="en-US" sz="1100" b="1" baseline="-25000">
              <a:solidFill>
                <a:srgbClr val="0000CC"/>
              </a:solidFill>
            </a:rPr>
            <a:t>0</a:t>
          </a:r>
          <a:r>
            <a:rPr lang="en-US" sz="1100" b="1" baseline="0">
              <a:solidFill>
                <a:srgbClr val="0000CC"/>
              </a:solidFill>
            </a:rPr>
            <a:t> for RD (cost of debt) and takes RP (cost of preferred) as Pref Div/Book Val Pref.  R</a:t>
          </a:r>
          <a:r>
            <a:rPr lang="en-US" sz="1100" b="1" baseline="-25000">
              <a:solidFill>
                <a:srgbClr val="0000CC"/>
              </a:solidFill>
            </a:rPr>
            <a:t>E</a:t>
          </a:r>
          <a:r>
            <a:rPr lang="en-US" sz="1100" b="1" baseline="0">
              <a:solidFill>
                <a:srgbClr val="0000CC"/>
              </a:solidFill>
            </a:rPr>
            <a:t> is calculated through the CAPM equation.  This changes WACC and the various valuations substantially, but leaves most of the rest of the worksheet unchanged.</a:t>
          </a:r>
          <a:endParaRPr lang="en-US" sz="1100" baseline="0">
            <a:solidFill>
              <a:srgbClr val="0000CC"/>
            </a:solidFill>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21</xdr:col>
      <xdr:colOff>0</xdr:colOff>
      <xdr:row>4</xdr:row>
      <xdr:rowOff>0</xdr:rowOff>
    </xdr:from>
    <xdr:ext cx="3357563" cy="1476376"/>
    <xdr:sp macro="" textlink="">
      <xdr:nvSpPr>
        <xdr:cNvPr id="2" name="TextBox 1"/>
        <xdr:cNvSpPr txBox="1"/>
      </xdr:nvSpPr>
      <xdr:spPr>
        <a:xfrm>
          <a:off x="13835063" y="762000"/>
          <a:ext cx="3357563" cy="1476376"/>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rgbClr val="0000CC"/>
              </a:solidFill>
            </a:rPr>
            <a:t>The Market Value construction in this worksheet includes the</a:t>
          </a:r>
          <a:r>
            <a:rPr lang="en-US" sz="1100" b="1" baseline="0">
              <a:solidFill>
                <a:srgbClr val="0000CC"/>
              </a:solidFill>
            </a:rPr>
            <a:t> value of the firm's capital components at their market values.   It uses YTM (current yield) for RD (cost of debt) and takes RP (cost of preferred) as Pref Div/Pref Mkt Cap.  This changes WACC and the various valuations substantially, but leaves most of the rest of the worksheet unchanged.</a:t>
          </a:r>
          <a:endParaRPr lang="en-US" sz="1100" baseline="0">
            <a:solidFill>
              <a:srgbClr val="0000CC"/>
            </a:solidFill>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72"/>
  <sheetViews>
    <sheetView topLeftCell="A40" zoomScale="80" zoomScaleNormal="80" workbookViewId="0">
      <selection activeCell="K67" sqref="K67"/>
    </sheetView>
  </sheetViews>
  <sheetFormatPr defaultRowHeight="15" x14ac:dyDescent="0.25"/>
  <cols>
    <col min="1" max="1" width="1.7109375" customWidth="1"/>
    <col min="2" max="2" width="2.7109375" customWidth="1"/>
    <col min="3" max="3" width="20.7109375" customWidth="1"/>
    <col min="4" max="6" width="12.7109375" customWidth="1"/>
    <col min="7" max="8" width="2.7109375" customWidth="1"/>
    <col min="9" max="9" width="33.7109375" customWidth="1"/>
    <col min="10" max="11" width="12.7109375" customWidth="1"/>
    <col min="12" max="12" width="3.7109375" customWidth="1"/>
    <col min="13" max="13" width="2.7109375" customWidth="1"/>
    <col min="14" max="14" width="30.7109375" customWidth="1"/>
    <col min="15" max="15" width="13.7109375" customWidth="1"/>
    <col min="16" max="16" width="13.28515625" bestFit="1" customWidth="1"/>
    <col min="17" max="17" width="12.7109375" customWidth="1"/>
    <col min="18" max="18" width="35.7109375" customWidth="1"/>
    <col min="19" max="20" width="12.7109375" customWidth="1"/>
  </cols>
  <sheetData>
    <row r="2" spans="2:20" x14ac:dyDescent="0.25">
      <c r="B2" s="141" t="s">
        <v>176</v>
      </c>
      <c r="C2" s="142"/>
      <c r="D2" s="142"/>
      <c r="E2" s="142"/>
      <c r="F2" s="142"/>
      <c r="G2" s="142"/>
      <c r="H2" s="142"/>
      <c r="I2" s="142"/>
      <c r="J2" s="142"/>
      <c r="K2" s="143"/>
      <c r="M2" s="141" t="s">
        <v>176</v>
      </c>
      <c r="N2" s="142"/>
      <c r="O2" s="142"/>
      <c r="P2" s="143"/>
      <c r="Q2" s="42"/>
    </row>
    <row r="3" spans="2:20" x14ac:dyDescent="0.25">
      <c r="B3" s="144" t="s">
        <v>65</v>
      </c>
      <c r="C3" s="145"/>
      <c r="D3" s="145"/>
      <c r="E3" s="145"/>
      <c r="F3" s="145"/>
      <c r="G3" s="145"/>
      <c r="H3" s="145"/>
      <c r="I3" s="145"/>
      <c r="J3" s="145"/>
      <c r="K3" s="146"/>
      <c r="M3" s="144" t="s">
        <v>66</v>
      </c>
      <c r="N3" s="145"/>
      <c r="O3" s="145"/>
      <c r="P3" s="146"/>
      <c r="Q3" s="42"/>
    </row>
    <row r="4" spans="2:20" x14ac:dyDescent="0.25">
      <c r="B4" s="144" t="s">
        <v>67</v>
      </c>
      <c r="C4" s="145"/>
      <c r="D4" s="145"/>
      <c r="E4" s="145"/>
      <c r="F4" s="145"/>
      <c r="G4" s="145"/>
      <c r="H4" s="145"/>
      <c r="I4" s="145"/>
      <c r="J4" s="145"/>
      <c r="K4" s="146"/>
      <c r="M4" s="144" t="s">
        <v>68</v>
      </c>
      <c r="N4" s="145"/>
      <c r="O4" s="145"/>
      <c r="P4" s="146"/>
      <c r="Q4" s="42"/>
    </row>
    <row r="5" spans="2:20" x14ac:dyDescent="0.25">
      <c r="B5" s="58"/>
      <c r="C5" s="59"/>
      <c r="D5" s="59"/>
      <c r="E5" s="59"/>
      <c r="F5" s="59"/>
      <c r="G5" s="59"/>
      <c r="H5" s="59"/>
      <c r="I5" s="59"/>
      <c r="J5" s="59"/>
      <c r="K5" s="60"/>
      <c r="M5" s="58"/>
      <c r="N5" s="59"/>
      <c r="O5" s="59"/>
      <c r="P5" s="60"/>
    </row>
    <row r="6" spans="2:20" x14ac:dyDescent="0.25">
      <c r="B6" s="58"/>
      <c r="C6" s="59"/>
      <c r="D6" s="61">
        <v>2013</v>
      </c>
      <c r="E6" s="61">
        <v>2014</v>
      </c>
      <c r="F6" s="61"/>
      <c r="G6" s="61"/>
      <c r="H6" s="61"/>
      <c r="I6" s="61"/>
      <c r="J6" s="61">
        <f>D6</f>
        <v>2013</v>
      </c>
      <c r="K6" s="62">
        <f>E6</f>
        <v>2014</v>
      </c>
      <c r="M6" s="58"/>
      <c r="N6" s="59"/>
      <c r="O6" s="61">
        <v>2013</v>
      </c>
      <c r="P6" s="62">
        <v>2014</v>
      </c>
    </row>
    <row r="7" spans="2:20" x14ac:dyDescent="0.25">
      <c r="B7" s="58" t="s">
        <v>69</v>
      </c>
      <c r="C7" s="59"/>
      <c r="D7" s="59"/>
      <c r="E7" s="59"/>
      <c r="F7" s="59"/>
      <c r="G7" s="59"/>
      <c r="H7" s="59" t="s">
        <v>70</v>
      </c>
      <c r="I7" s="59"/>
      <c r="J7" s="59"/>
      <c r="K7" s="60"/>
      <c r="M7" s="58" t="s">
        <v>71</v>
      </c>
      <c r="N7" s="59"/>
      <c r="O7" s="59"/>
      <c r="P7" s="60"/>
    </row>
    <row r="8" spans="2:20" x14ac:dyDescent="0.25">
      <c r="B8" s="58"/>
      <c r="C8" s="63" t="s">
        <v>72</v>
      </c>
      <c r="D8" s="64">
        <v>6.4249999999999998</v>
      </c>
      <c r="E8" s="64">
        <v>7.9329999999999998</v>
      </c>
      <c r="F8" s="64"/>
      <c r="G8" s="63"/>
      <c r="H8" s="63"/>
      <c r="I8" s="63" t="s">
        <v>73</v>
      </c>
      <c r="J8" s="64">
        <v>22.54</v>
      </c>
      <c r="K8" s="65">
        <v>20.640999999999998</v>
      </c>
      <c r="M8" s="58"/>
      <c r="N8" s="59" t="s">
        <v>74</v>
      </c>
      <c r="O8" s="66">
        <v>234.98</v>
      </c>
      <c r="P8" s="67">
        <v>256.77999999999997</v>
      </c>
    </row>
    <row r="9" spans="2:20" x14ac:dyDescent="0.25">
      <c r="B9" s="58"/>
      <c r="C9" s="63" t="s">
        <v>75</v>
      </c>
      <c r="D9" s="64">
        <v>37.47</v>
      </c>
      <c r="E9" s="64">
        <v>38.909999999999997</v>
      </c>
      <c r="F9" s="64"/>
      <c r="G9" s="63"/>
      <c r="H9" s="63"/>
      <c r="I9" s="63" t="s">
        <v>76</v>
      </c>
      <c r="J9" s="68">
        <v>8.15</v>
      </c>
      <c r="K9" s="69">
        <v>5.93</v>
      </c>
      <c r="M9" s="58"/>
      <c r="N9" s="59" t="s">
        <v>77</v>
      </c>
      <c r="O9" s="66">
        <v>32.436</v>
      </c>
      <c r="P9" s="67">
        <v>39.555999999999997</v>
      </c>
    </row>
    <row r="10" spans="2:20" x14ac:dyDescent="0.25">
      <c r="B10" s="58"/>
      <c r="C10" s="63" t="s">
        <v>78</v>
      </c>
      <c r="D10" s="68">
        <v>45.234999999999999</v>
      </c>
      <c r="E10" s="68">
        <v>46.64</v>
      </c>
      <c r="F10" s="64"/>
      <c r="G10" s="63"/>
      <c r="H10" s="63"/>
      <c r="I10" s="63" t="s">
        <v>79</v>
      </c>
      <c r="J10" s="64">
        <f>SUM(J8:J9)</f>
        <v>30.689999999999998</v>
      </c>
      <c r="K10" s="65">
        <f>SUM(K8:K9)</f>
        <v>26.570999999999998</v>
      </c>
      <c r="M10" s="58"/>
      <c r="N10" t="s">
        <v>80</v>
      </c>
      <c r="O10" s="70">
        <v>0.55000000000000004</v>
      </c>
      <c r="P10" s="71">
        <v>0.86</v>
      </c>
    </row>
    <row r="11" spans="2:20" x14ac:dyDescent="0.25">
      <c r="B11" s="58"/>
      <c r="C11" s="63" t="s">
        <v>81</v>
      </c>
      <c r="D11" s="64">
        <f>SUM(D8:D10)</f>
        <v>89.13</v>
      </c>
      <c r="E11" s="64">
        <f>SUM(E8:E10)</f>
        <v>93.483000000000004</v>
      </c>
      <c r="F11" s="64"/>
      <c r="G11" s="63"/>
      <c r="H11" s="63"/>
      <c r="I11" s="63"/>
      <c r="J11" s="64"/>
      <c r="K11" s="65"/>
      <c r="M11" s="58"/>
      <c r="O11" s="72"/>
      <c r="P11" s="73"/>
      <c r="S11" s="135">
        <v>2013</v>
      </c>
      <c r="T11" s="135">
        <v>2014</v>
      </c>
    </row>
    <row r="12" spans="2:20" x14ac:dyDescent="0.25">
      <c r="B12" s="58"/>
      <c r="C12" s="63"/>
      <c r="D12" s="64"/>
      <c r="E12" s="64"/>
      <c r="F12" s="64"/>
      <c r="G12" s="63"/>
      <c r="H12" s="63" t="s">
        <v>82</v>
      </c>
      <c r="I12" s="63"/>
      <c r="J12" s="64"/>
      <c r="K12" s="65"/>
      <c r="M12" s="58"/>
      <c r="N12" s="59" t="s">
        <v>83</v>
      </c>
      <c r="O12" s="74">
        <f>SUM(O8:O11)</f>
        <v>267.96600000000001</v>
      </c>
      <c r="P12" s="67">
        <f>SUM(P8:P11)</f>
        <v>297.19599999999997</v>
      </c>
      <c r="R12" s="40" t="s">
        <v>38</v>
      </c>
      <c r="S12" s="106">
        <f>O21</f>
        <v>15.700000000000017</v>
      </c>
      <c r="T12" s="106">
        <f>P21</f>
        <v>24.639999999999986</v>
      </c>
    </row>
    <row r="13" spans="2:20" x14ac:dyDescent="0.25">
      <c r="B13" s="58" t="s">
        <v>84</v>
      </c>
      <c r="C13" s="63"/>
      <c r="D13" s="64"/>
      <c r="E13" s="64"/>
      <c r="F13" s="64"/>
      <c r="G13" s="63"/>
      <c r="H13" s="63"/>
      <c r="I13" s="75" t="s">
        <v>85</v>
      </c>
      <c r="J13" s="64">
        <v>0.32</v>
      </c>
      <c r="K13" s="65">
        <v>0.96</v>
      </c>
      <c r="M13" s="58"/>
      <c r="N13" s="59"/>
      <c r="O13" s="66"/>
      <c r="P13" s="71"/>
      <c r="R13" s="40" t="s">
        <v>8</v>
      </c>
      <c r="S13" s="106">
        <f>S12*(1-O39)</f>
        <v>10.205000000000011</v>
      </c>
      <c r="T13" s="106">
        <f>T12*(1-P39)</f>
        <v>16.015999999999991</v>
      </c>
    </row>
    <row r="14" spans="2:20" x14ac:dyDescent="0.25">
      <c r="B14" s="58"/>
      <c r="C14" s="63" t="s">
        <v>86</v>
      </c>
      <c r="D14" s="64">
        <v>30.13</v>
      </c>
      <c r="E14" s="64">
        <v>31.227</v>
      </c>
      <c r="F14" s="64"/>
      <c r="G14" s="63"/>
      <c r="H14" s="63"/>
      <c r="I14" s="63" t="s">
        <v>87</v>
      </c>
      <c r="J14" s="68">
        <v>26.33</v>
      </c>
      <c r="K14" s="69">
        <v>28.584</v>
      </c>
      <c r="M14" s="58" t="s">
        <v>88</v>
      </c>
      <c r="N14" s="59"/>
      <c r="O14" s="66"/>
      <c r="P14" s="71"/>
      <c r="R14" s="40" t="s">
        <v>207</v>
      </c>
      <c r="S14" s="106">
        <f>D17</f>
        <v>44.89</v>
      </c>
      <c r="T14" s="106">
        <f>E17</f>
        <v>47.247</v>
      </c>
    </row>
    <row r="15" spans="2:20" x14ac:dyDescent="0.25">
      <c r="B15" s="58"/>
      <c r="C15" s="63" t="s">
        <v>80</v>
      </c>
      <c r="D15" s="63">
        <v>14.76</v>
      </c>
      <c r="E15" s="63">
        <v>16.02</v>
      </c>
      <c r="F15" s="64"/>
      <c r="G15" s="63"/>
      <c r="H15" s="63"/>
      <c r="I15" s="63" t="s">
        <v>79</v>
      </c>
      <c r="J15" s="64">
        <f>SUM(J13:J14)</f>
        <v>26.65</v>
      </c>
      <c r="K15" s="65">
        <f>SUM(K13:K14)</f>
        <v>29.544</v>
      </c>
      <c r="M15" s="58"/>
      <c r="N15" s="59" t="s">
        <v>16</v>
      </c>
      <c r="O15" s="66">
        <v>196.69</v>
      </c>
      <c r="P15" s="67">
        <v>211.46</v>
      </c>
      <c r="R15" s="40" t="s">
        <v>118</v>
      </c>
      <c r="S15" s="106">
        <f>D11-J10</f>
        <v>58.44</v>
      </c>
      <c r="T15" s="106">
        <f>E11-K10</f>
        <v>66.912000000000006</v>
      </c>
    </row>
    <row r="16" spans="2:20" x14ac:dyDescent="0.25">
      <c r="B16" s="58"/>
      <c r="C16" s="63"/>
      <c r="D16" s="68"/>
      <c r="E16" s="68"/>
      <c r="F16" s="64"/>
      <c r="G16" s="63"/>
      <c r="H16" s="63"/>
      <c r="I16" s="63"/>
      <c r="J16" s="64"/>
      <c r="K16" s="65"/>
      <c r="M16" s="58"/>
      <c r="N16" s="59" t="s">
        <v>89</v>
      </c>
      <c r="O16" s="66">
        <v>23.5</v>
      </c>
      <c r="P16" s="67">
        <v>27.64</v>
      </c>
      <c r="R16" s="40" t="s">
        <v>14</v>
      </c>
      <c r="S16" s="106"/>
      <c r="T16" s="106">
        <f>T15-S15</f>
        <v>8.4720000000000084</v>
      </c>
    </row>
    <row r="17" spans="2:20" x14ac:dyDescent="0.25">
      <c r="B17" s="58"/>
      <c r="C17" s="63" t="s">
        <v>79</v>
      </c>
      <c r="D17" s="64">
        <f>SUM(D14:D16)</f>
        <v>44.89</v>
      </c>
      <c r="E17" s="64">
        <f>SUM(E14:E16)</f>
        <v>47.247</v>
      </c>
      <c r="F17" s="64"/>
      <c r="G17" s="63"/>
      <c r="H17" s="63" t="s">
        <v>90</v>
      </c>
      <c r="I17" s="63"/>
      <c r="J17" s="64"/>
      <c r="K17" s="65"/>
      <c r="M17" s="58"/>
      <c r="N17" s="76" t="s">
        <v>91</v>
      </c>
      <c r="O17" s="52">
        <v>28.436</v>
      </c>
      <c r="P17" s="67">
        <v>29.565999999999999</v>
      </c>
      <c r="R17" s="40" t="s">
        <v>208</v>
      </c>
      <c r="S17" s="106">
        <f>S14+S15</f>
        <v>103.33</v>
      </c>
      <c r="T17" s="106">
        <f>T14+T15</f>
        <v>114.15900000000001</v>
      </c>
    </row>
    <row r="18" spans="2:20" x14ac:dyDescent="0.25">
      <c r="B18" s="58"/>
      <c r="C18" s="63"/>
      <c r="D18" s="64"/>
      <c r="E18" s="64"/>
      <c r="F18" s="64"/>
      <c r="G18" s="63"/>
      <c r="H18" s="63"/>
      <c r="I18" s="63" t="s">
        <v>92</v>
      </c>
      <c r="J18" s="64">
        <v>5.44</v>
      </c>
      <c r="K18" s="65">
        <v>5.57</v>
      </c>
      <c r="M18" s="58"/>
      <c r="N18" s="59" t="s">
        <v>93</v>
      </c>
      <c r="O18" s="77">
        <v>3.64</v>
      </c>
      <c r="P18" s="78">
        <v>3.89</v>
      </c>
      <c r="R18" s="40" t="s">
        <v>55</v>
      </c>
      <c r="S18" s="106">
        <f>O18</f>
        <v>3.64</v>
      </c>
      <c r="T18" s="106">
        <f>P18</f>
        <v>3.89</v>
      </c>
    </row>
    <row r="19" spans="2:20" x14ac:dyDescent="0.25">
      <c r="B19" s="58"/>
      <c r="C19" s="79"/>
      <c r="D19" s="79"/>
      <c r="E19" s="79"/>
      <c r="F19" s="79"/>
      <c r="G19" s="63"/>
      <c r="H19" s="63"/>
      <c r="I19" s="63" t="s">
        <v>94</v>
      </c>
      <c r="J19" s="64">
        <v>0.08</v>
      </c>
      <c r="K19" s="65">
        <v>0.09</v>
      </c>
      <c r="M19" s="58"/>
      <c r="N19" s="59" t="s">
        <v>95</v>
      </c>
      <c r="O19" s="74">
        <f>SUM(O15:O18)</f>
        <v>252.26599999999999</v>
      </c>
      <c r="P19" s="67">
        <f>SUM(P15:P18)</f>
        <v>272.55599999999998</v>
      </c>
      <c r="R19" s="40" t="s">
        <v>62</v>
      </c>
      <c r="S19" s="138"/>
      <c r="T19" s="138">
        <f>T14-S14+T18</f>
        <v>6.2469999999999999</v>
      </c>
    </row>
    <row r="20" spans="2:20" ht="18" x14ac:dyDescent="0.35">
      <c r="B20" s="58"/>
      <c r="F20" s="63"/>
      <c r="G20" s="63"/>
      <c r="H20" s="63"/>
      <c r="I20" s="63" t="s">
        <v>96</v>
      </c>
      <c r="J20" s="68">
        <v>71.16</v>
      </c>
      <c r="K20" s="69">
        <f>J20+P34</f>
        <v>78.954999999999984</v>
      </c>
      <c r="M20" s="58"/>
      <c r="N20" s="59"/>
      <c r="O20" s="66"/>
      <c r="P20" s="71"/>
      <c r="R20" s="40" t="s">
        <v>217</v>
      </c>
      <c r="S20" s="106"/>
      <c r="T20" s="106">
        <f>T17-S17</f>
        <v>10.829000000000008</v>
      </c>
    </row>
    <row r="21" spans="2:20" x14ac:dyDescent="0.25">
      <c r="B21" s="58"/>
      <c r="C21" s="75"/>
      <c r="D21" s="79"/>
      <c r="E21" s="79"/>
      <c r="F21" s="79"/>
      <c r="G21" s="63"/>
      <c r="H21" s="63"/>
      <c r="I21" s="63" t="s">
        <v>79</v>
      </c>
      <c r="J21" s="64">
        <f>SUM(J18:J20)</f>
        <v>76.679999999999993</v>
      </c>
      <c r="K21" s="65">
        <f>SUM(K18:K20)</f>
        <v>84.614999999999981</v>
      </c>
      <c r="M21" s="58" t="s">
        <v>216</v>
      </c>
      <c r="N21" s="59"/>
      <c r="O21" s="66">
        <f>O12-O19</f>
        <v>15.700000000000017</v>
      </c>
      <c r="P21" s="80">
        <f>P12-P19</f>
        <v>24.639999999999986</v>
      </c>
      <c r="R21" s="40" t="s">
        <v>209</v>
      </c>
      <c r="S21" s="106"/>
      <c r="T21" s="106">
        <f>(T14-S14)+T16</f>
        <v>10.829000000000008</v>
      </c>
    </row>
    <row r="22" spans="2:20" x14ac:dyDescent="0.25">
      <c r="B22" s="58"/>
      <c r="C22" s="75"/>
      <c r="D22" s="79"/>
      <c r="E22" s="79"/>
      <c r="F22" s="79"/>
      <c r="G22" s="63"/>
      <c r="H22" s="63"/>
      <c r="I22" s="63"/>
      <c r="J22" s="64"/>
      <c r="K22" s="65"/>
      <c r="M22" s="58"/>
      <c r="N22" s="59"/>
      <c r="O22" s="66"/>
      <c r="P22" s="80"/>
      <c r="R22" s="40" t="s">
        <v>210</v>
      </c>
      <c r="S22" s="106"/>
      <c r="T22" s="106">
        <f>T19+T16-T18</f>
        <v>10.829000000000008</v>
      </c>
    </row>
    <row r="23" spans="2:20" x14ac:dyDescent="0.25">
      <c r="B23" s="58"/>
      <c r="C23" s="79"/>
      <c r="D23" s="79"/>
      <c r="E23" s="79"/>
      <c r="F23" s="79"/>
      <c r="G23" s="63"/>
      <c r="H23" s="63"/>
      <c r="I23" s="63"/>
      <c r="J23" s="64"/>
      <c r="K23" s="65"/>
      <c r="M23" s="58" t="s">
        <v>97</v>
      </c>
      <c r="O23" s="70"/>
      <c r="P23" s="67"/>
      <c r="R23" s="40" t="s">
        <v>211</v>
      </c>
      <c r="S23" s="106"/>
      <c r="T23" s="106">
        <f>T13-T20</f>
        <v>5.1869999999999834</v>
      </c>
    </row>
    <row r="24" spans="2:20" x14ac:dyDescent="0.25">
      <c r="B24" s="81" t="s">
        <v>98</v>
      </c>
      <c r="C24" s="82"/>
      <c r="D24" s="68">
        <f>D11+D17</f>
        <v>134.01999999999998</v>
      </c>
      <c r="E24" s="68">
        <f>E11+E17</f>
        <v>140.73000000000002</v>
      </c>
      <c r="F24" s="68"/>
      <c r="G24" s="82"/>
      <c r="H24" s="82" t="s">
        <v>99</v>
      </c>
      <c r="I24" s="82"/>
      <c r="J24" s="68">
        <f>J10+J15+J21</f>
        <v>134.01999999999998</v>
      </c>
      <c r="K24" s="69">
        <f>K10+K15+K21</f>
        <v>140.72999999999996</v>
      </c>
      <c r="M24" s="58"/>
      <c r="N24" s="76" t="s">
        <v>100</v>
      </c>
      <c r="O24" s="77">
        <v>3.72</v>
      </c>
      <c r="P24" s="78">
        <v>4.3600000000000003</v>
      </c>
      <c r="R24" s="40" t="s">
        <v>212</v>
      </c>
      <c r="S24" s="106"/>
      <c r="T24" s="106">
        <f>T13+T18-T19-T16</f>
        <v>5.1869999999999834</v>
      </c>
    </row>
    <row r="25" spans="2:20" x14ac:dyDescent="0.25">
      <c r="B25" s="59"/>
      <c r="C25" s="63"/>
      <c r="D25" s="63"/>
      <c r="E25" s="63"/>
      <c r="F25" s="63"/>
      <c r="G25" s="63"/>
      <c r="H25" s="63"/>
      <c r="I25" s="63"/>
      <c r="J25" s="63"/>
      <c r="K25" s="63"/>
      <c r="M25" s="58"/>
      <c r="N25" s="76" t="s">
        <v>101</v>
      </c>
      <c r="O25" s="66">
        <f>SUM(O23:O24)</f>
        <v>3.72</v>
      </c>
      <c r="P25" s="83">
        <f>SUM(P23:P24)</f>
        <v>4.3600000000000003</v>
      </c>
    </row>
    <row r="26" spans="2:20" x14ac:dyDescent="0.25">
      <c r="B26" s="59"/>
      <c r="C26" s="63"/>
      <c r="D26" s="63"/>
      <c r="E26" s="63"/>
      <c r="F26" s="63"/>
      <c r="G26" s="63"/>
      <c r="H26" s="63"/>
      <c r="I26" s="63"/>
      <c r="J26" s="63"/>
      <c r="K26" s="63"/>
      <c r="M26" s="58"/>
      <c r="O26" s="52"/>
      <c r="P26" s="71"/>
    </row>
    <row r="27" spans="2:20" x14ac:dyDescent="0.25">
      <c r="B27" s="147" t="s">
        <v>102</v>
      </c>
      <c r="C27" s="148"/>
      <c r="D27" s="148"/>
      <c r="E27" s="148"/>
      <c r="F27" s="148"/>
      <c r="G27" s="148"/>
      <c r="H27" s="148"/>
      <c r="I27" s="148"/>
      <c r="J27" s="148"/>
      <c r="K27" s="149"/>
      <c r="M27" s="58"/>
      <c r="N27" s="59" t="s">
        <v>103</v>
      </c>
      <c r="O27" s="74">
        <f>O12-O19-O25</f>
        <v>11.980000000000016</v>
      </c>
      <c r="P27" s="67">
        <f>P12-P19-P25</f>
        <v>20.279999999999987</v>
      </c>
    </row>
    <row r="28" spans="2:20" x14ac:dyDescent="0.25">
      <c r="B28" s="84" t="s">
        <v>104</v>
      </c>
      <c r="C28" s="59"/>
      <c r="D28" s="63"/>
      <c r="E28" s="85">
        <v>2013</v>
      </c>
      <c r="F28" s="85">
        <v>2014</v>
      </c>
      <c r="G28" s="63"/>
      <c r="H28" s="63" t="s">
        <v>105</v>
      </c>
      <c r="I28" s="63"/>
      <c r="J28" s="85">
        <v>2013</v>
      </c>
      <c r="K28" s="86">
        <v>2014</v>
      </c>
      <c r="M28" s="58"/>
      <c r="N28" s="59" t="s">
        <v>106</v>
      </c>
      <c r="O28" s="77">
        <v>4.093</v>
      </c>
      <c r="P28" s="78">
        <v>7.0979999999999999</v>
      </c>
    </row>
    <row r="29" spans="2:20" ht="15.75" thickBot="1" x14ac:dyDescent="0.3">
      <c r="B29" s="58"/>
      <c r="C29" s="150" t="s">
        <v>107</v>
      </c>
      <c r="D29" s="150"/>
      <c r="E29" s="63">
        <v>0.04</v>
      </c>
      <c r="F29" s="63">
        <v>0.05</v>
      </c>
      <c r="G29" s="63"/>
      <c r="H29" s="63"/>
      <c r="I29" s="63" t="s">
        <v>107</v>
      </c>
      <c r="J29" s="64">
        <f>J18</f>
        <v>5.44</v>
      </c>
      <c r="K29" s="65">
        <f>K18</f>
        <v>5.57</v>
      </c>
      <c r="M29" s="58"/>
      <c r="N29" s="59" t="s">
        <v>108</v>
      </c>
      <c r="O29" s="87">
        <f>O27-O28</f>
        <v>7.8870000000000164</v>
      </c>
      <c r="P29" s="88">
        <f>P27-P28</f>
        <v>13.181999999999988</v>
      </c>
    </row>
    <row r="30" spans="2:20" ht="15.75" thickTop="1" x14ac:dyDescent="0.25">
      <c r="B30" s="58"/>
      <c r="C30" s="150" t="s">
        <v>109</v>
      </c>
      <c r="D30" s="150"/>
      <c r="E30" s="63">
        <v>2.5</v>
      </c>
      <c r="F30" s="63">
        <v>2.5</v>
      </c>
      <c r="G30" s="63"/>
      <c r="H30" s="63"/>
      <c r="I30" s="63" t="s">
        <v>109</v>
      </c>
      <c r="J30" s="64">
        <v>12</v>
      </c>
      <c r="K30" s="65">
        <v>13.25</v>
      </c>
      <c r="M30" s="58"/>
      <c r="N30" s="59"/>
      <c r="O30" s="66"/>
      <c r="P30" s="67"/>
    </row>
    <row r="31" spans="2:20" x14ac:dyDescent="0.25">
      <c r="B31" s="58"/>
      <c r="C31" s="150" t="s">
        <v>110</v>
      </c>
      <c r="D31" s="150"/>
      <c r="E31" s="63">
        <f>E29*E30</f>
        <v>0.1</v>
      </c>
      <c r="F31" s="63">
        <f>F29*F30</f>
        <v>0.125</v>
      </c>
      <c r="G31" s="63"/>
      <c r="H31" s="63"/>
      <c r="I31" s="63" t="s">
        <v>111</v>
      </c>
      <c r="J31" s="64">
        <v>22</v>
      </c>
      <c r="K31" s="89">
        <v>24</v>
      </c>
      <c r="M31" s="58" t="s">
        <v>112</v>
      </c>
      <c r="N31" s="59"/>
      <c r="O31" s="66"/>
      <c r="P31" s="67"/>
    </row>
    <row r="32" spans="2:20" x14ac:dyDescent="0.25">
      <c r="B32" s="58"/>
      <c r="C32" s="151"/>
      <c r="D32" s="151"/>
      <c r="E32" s="63"/>
      <c r="F32" s="63"/>
      <c r="G32" s="63"/>
      <c r="H32" s="63"/>
      <c r="I32" s="75" t="s">
        <v>113</v>
      </c>
      <c r="J32" s="63">
        <f>O29/J29</f>
        <v>1.4498161764705912</v>
      </c>
      <c r="K32" s="89">
        <f>P29/K29</f>
        <v>2.3666068222621162</v>
      </c>
      <c r="M32" s="58"/>
      <c r="N32" s="59" t="s">
        <v>114</v>
      </c>
      <c r="O32" s="66">
        <v>2.36</v>
      </c>
      <c r="P32" s="67">
        <v>5.3620000000000001</v>
      </c>
    </row>
    <row r="33" spans="2:16" ht="15" customHeight="1" x14ac:dyDescent="0.25">
      <c r="B33" s="58"/>
      <c r="E33" s="63"/>
      <c r="F33" s="63"/>
      <c r="G33" s="63"/>
      <c r="H33" s="63"/>
      <c r="I33" s="63" t="s">
        <v>110</v>
      </c>
      <c r="J33" s="64">
        <f>J29*J30</f>
        <v>65.28</v>
      </c>
      <c r="K33" s="65">
        <f>K29*K30</f>
        <v>73.802500000000009</v>
      </c>
      <c r="M33" s="58"/>
      <c r="N33" s="76" t="s">
        <v>115</v>
      </c>
      <c r="O33" s="66">
        <v>0.02</v>
      </c>
      <c r="P33" s="67">
        <v>2.5000000000000001E-2</v>
      </c>
    </row>
    <row r="34" spans="2:16" x14ac:dyDescent="0.25">
      <c r="B34" s="81"/>
      <c r="C34" s="82"/>
      <c r="D34" s="82"/>
      <c r="E34" s="82"/>
      <c r="F34" s="82"/>
      <c r="G34" s="82"/>
      <c r="H34" s="82" t="s">
        <v>116</v>
      </c>
      <c r="I34" s="82"/>
      <c r="J34" s="82">
        <f>(J15)</f>
        <v>26.65</v>
      </c>
      <c r="K34" s="90">
        <f>(K15)</f>
        <v>29.544</v>
      </c>
      <c r="M34" s="81"/>
      <c r="N34" s="91" t="s">
        <v>117</v>
      </c>
      <c r="O34" s="77">
        <f>O29-O32-O33</f>
        <v>5.5070000000000174</v>
      </c>
      <c r="P34" s="73">
        <f>P29-P32-P33</f>
        <v>7.7949999999999875</v>
      </c>
    </row>
    <row r="36" spans="2:16" x14ac:dyDescent="0.25">
      <c r="D36" s="40">
        <f>D6</f>
        <v>2013</v>
      </c>
      <c r="E36" s="40">
        <f>E6</f>
        <v>2014</v>
      </c>
      <c r="F36" s="40"/>
    </row>
    <row r="37" spans="2:16" x14ac:dyDescent="0.25">
      <c r="C37" t="s">
        <v>38</v>
      </c>
      <c r="D37" s="92">
        <f>O12-O19</f>
        <v>15.700000000000017</v>
      </c>
      <c r="E37" s="92">
        <f>P12-P19</f>
        <v>24.639999999999986</v>
      </c>
      <c r="F37" s="93"/>
      <c r="I37" t="s">
        <v>203</v>
      </c>
      <c r="J37" s="92">
        <f>J14+J13+J18+J19</f>
        <v>32.169999999999995</v>
      </c>
      <c r="K37" s="92">
        <f>K14+K13+K18+K19</f>
        <v>35.204000000000008</v>
      </c>
      <c r="N37" t="s">
        <v>213</v>
      </c>
      <c r="O37" s="95">
        <f>O28/O27</f>
        <v>0.34165275459098449</v>
      </c>
      <c r="P37" s="95">
        <f>P28/P27</f>
        <v>0.3500000000000002</v>
      </c>
    </row>
    <row r="38" spans="2:16" x14ac:dyDescent="0.25">
      <c r="C38" t="s">
        <v>118</v>
      </c>
      <c r="D38" s="92">
        <f>D11-J10</f>
        <v>58.44</v>
      </c>
      <c r="E38" s="92">
        <f>E11-K10</f>
        <v>66.912000000000006</v>
      </c>
      <c r="F38" s="93"/>
      <c r="I38" t="s">
        <v>119</v>
      </c>
      <c r="J38" s="95">
        <f>J18/J37</f>
        <v>0.16910164749766868</v>
      </c>
      <c r="K38" s="95">
        <f>K18/K37</f>
        <v>0.15822065674355185</v>
      </c>
      <c r="N38" t="s">
        <v>214</v>
      </c>
      <c r="O38" s="95">
        <v>0.35</v>
      </c>
      <c r="P38" s="95">
        <v>0.35</v>
      </c>
    </row>
    <row r="39" spans="2:16" x14ac:dyDescent="0.25">
      <c r="C39" t="s">
        <v>120</v>
      </c>
      <c r="D39" s="92">
        <f>D37+O18-O28</f>
        <v>15.247000000000018</v>
      </c>
      <c r="E39" s="92">
        <f>E37+P18-P28</f>
        <v>21.431999999999988</v>
      </c>
      <c r="F39" s="93"/>
      <c r="I39" t="s">
        <v>121</v>
      </c>
      <c r="J39" s="95">
        <f>J19/J37</f>
        <v>2.4867889337892449E-3</v>
      </c>
      <c r="K39" s="95">
        <f>K19/K37</f>
        <v>2.5565276673105322E-3</v>
      </c>
      <c r="N39" t="s">
        <v>215</v>
      </c>
      <c r="O39" s="95">
        <v>0.35</v>
      </c>
      <c r="P39" s="95">
        <v>0.35</v>
      </c>
    </row>
    <row r="40" spans="2:16" x14ac:dyDescent="0.25">
      <c r="C40" t="s">
        <v>62</v>
      </c>
      <c r="D40" s="92"/>
      <c r="E40" s="92">
        <f>E17-D17+P18</f>
        <v>6.2469999999999999</v>
      </c>
      <c r="F40" s="93"/>
      <c r="I40" t="s">
        <v>122</v>
      </c>
      <c r="J40" s="95">
        <f>J15/J37</f>
        <v>0.82841156356854218</v>
      </c>
      <c r="K40" s="95">
        <f>K15/K37</f>
        <v>0.83922281558913747</v>
      </c>
    </row>
    <row r="41" spans="2:16" x14ac:dyDescent="0.25">
      <c r="C41" s="96" t="s">
        <v>14</v>
      </c>
      <c r="D41" s="92"/>
      <c r="E41" s="92">
        <f>E38-D38</f>
        <v>8.4720000000000084</v>
      </c>
      <c r="F41" s="93"/>
    </row>
    <row r="42" spans="2:16" x14ac:dyDescent="0.25">
      <c r="C42" t="s">
        <v>123</v>
      </c>
      <c r="D42" s="92"/>
      <c r="E42" s="97">
        <f>E39-E40-E41</f>
        <v>6.7129999999999797</v>
      </c>
      <c r="F42" s="93"/>
      <c r="I42" t="s">
        <v>204</v>
      </c>
    </row>
    <row r="43" spans="2:16" x14ac:dyDescent="0.25">
      <c r="C43" t="s">
        <v>124</v>
      </c>
      <c r="D43" s="92"/>
      <c r="E43" s="97">
        <f>E44+E45</f>
        <v>6.7129999999999983</v>
      </c>
      <c r="F43" s="93"/>
      <c r="I43" t="s">
        <v>119</v>
      </c>
      <c r="J43" s="95">
        <f>P68</f>
        <v>0.61716296249881331</v>
      </c>
      <c r="K43" s="95">
        <f>R68</f>
        <v>0.64357025159836623</v>
      </c>
    </row>
    <row r="44" spans="2:16" x14ac:dyDescent="0.25">
      <c r="C44" t="s">
        <v>125</v>
      </c>
      <c r="D44" s="92"/>
      <c r="E44" s="92">
        <f>P25-(K15-J15)</f>
        <v>1.4659999999999984</v>
      </c>
      <c r="F44" s="93"/>
      <c r="I44" t="s">
        <v>121</v>
      </c>
      <c r="J44" s="95">
        <f>P69</f>
        <v>9.4540894990627052E-4</v>
      </c>
      <c r="K44" s="95">
        <f>R69</f>
        <v>1.0900210893912234E-3</v>
      </c>
      <c r="N44" t="s">
        <v>127</v>
      </c>
      <c r="P44" s="99">
        <f>P45+P46</f>
        <v>0.17682003206756772</v>
      </c>
    </row>
    <row r="45" spans="2:16" x14ac:dyDescent="0.25">
      <c r="C45" t="s">
        <v>128</v>
      </c>
      <c r="D45" s="92"/>
      <c r="E45" s="92">
        <f>(P32-(K18-J18))+(P33-(K19-J19))</f>
        <v>5.2469999999999999</v>
      </c>
      <c r="F45" s="93"/>
      <c r="I45" t="s">
        <v>122</v>
      </c>
      <c r="J45" s="95">
        <f>P67</f>
        <v>0.38189162855128045</v>
      </c>
      <c r="K45" s="95">
        <f>R67</f>
        <v>0.35533972731224261</v>
      </c>
      <c r="N45" t="s">
        <v>130</v>
      </c>
      <c r="P45" s="99">
        <f xml:space="preserve"> ((P32/K29)/K30)</f>
        <v>7.2653365400901046E-2</v>
      </c>
    </row>
    <row r="46" spans="2:16" x14ac:dyDescent="0.25">
      <c r="C46" t="s">
        <v>131</v>
      </c>
      <c r="D46" s="92"/>
      <c r="E46" s="92">
        <f>E37+P18</f>
        <v>28.529999999999987</v>
      </c>
      <c r="F46" s="93"/>
      <c r="N46" t="s">
        <v>133</v>
      </c>
      <c r="P46" s="99">
        <f>((K30-J30)/J30)</f>
        <v>0.10416666666666667</v>
      </c>
    </row>
    <row r="47" spans="2:16" x14ac:dyDescent="0.25">
      <c r="C47" t="s">
        <v>134</v>
      </c>
      <c r="D47" s="92">
        <f>J33+E31+J34-D8</f>
        <v>85.605000000000004</v>
      </c>
      <c r="E47" s="92">
        <f>K33+F31+K34-E8</f>
        <v>95.538499999999999</v>
      </c>
      <c r="F47" s="93"/>
      <c r="I47" t="s">
        <v>202</v>
      </c>
      <c r="J47" s="98">
        <v>1.4999999999999999E-2</v>
      </c>
      <c r="K47" s="98">
        <v>1.4999999999999999E-2</v>
      </c>
      <c r="P47" s="101"/>
    </row>
    <row r="48" spans="2:16" x14ac:dyDescent="0.25">
      <c r="C48" t="s">
        <v>136</v>
      </c>
      <c r="D48" s="95">
        <f>(O29/D24)</f>
        <v>5.8849425458886863E-2</v>
      </c>
      <c r="E48" s="95">
        <f>(P29/E24)</f>
        <v>9.3668727350245048E-2</v>
      </c>
      <c r="F48" s="95"/>
      <c r="N48" t="s">
        <v>137</v>
      </c>
      <c r="P48" s="99">
        <f>P49+P50</f>
        <v>0.2</v>
      </c>
    </row>
    <row r="49" spans="3:17" x14ac:dyDescent="0.25">
      <c r="C49" t="s">
        <v>138</v>
      </c>
      <c r="D49" s="95">
        <f>O29/J21</f>
        <v>0.10285602503912386</v>
      </c>
      <c r="E49" s="95">
        <f>P29/K21</f>
        <v>0.15578798085445833</v>
      </c>
      <c r="F49" s="95"/>
      <c r="I49" t="s">
        <v>126</v>
      </c>
      <c r="J49" s="94">
        <f>O24/J15</f>
        <v>0.13958724202626643</v>
      </c>
      <c r="K49" s="94">
        <f>P24/J15</f>
        <v>0.16360225140712947</v>
      </c>
      <c r="N49" t="s">
        <v>130</v>
      </c>
      <c r="P49" s="99">
        <f xml:space="preserve"> ((P33/F29)/F30)</f>
        <v>0.2</v>
      </c>
    </row>
    <row r="50" spans="3:17" x14ac:dyDescent="0.25">
      <c r="C50" t="s">
        <v>139</v>
      </c>
      <c r="D50" s="95">
        <f>O29/O12</f>
        <v>2.9432838494435922E-2</v>
      </c>
      <c r="E50" s="95">
        <f>P29/P12</f>
        <v>4.4354567356222792E-2</v>
      </c>
      <c r="F50" s="95"/>
      <c r="I50" t="s">
        <v>129</v>
      </c>
      <c r="J50" s="100">
        <f>O33/J19</f>
        <v>0.25</v>
      </c>
      <c r="K50" s="100">
        <f>P33/K19</f>
        <v>0.27777777777777779</v>
      </c>
      <c r="N50" t="s">
        <v>133</v>
      </c>
      <c r="P50" s="99">
        <f>((F30-E30)/E30)</f>
        <v>0</v>
      </c>
    </row>
    <row r="51" spans="3:17" ht="18" x14ac:dyDescent="0.35">
      <c r="C51" t="s">
        <v>141</v>
      </c>
      <c r="D51" s="57">
        <f>O12/D24</f>
        <v>1.9994478436054324</v>
      </c>
      <c r="E51" s="57">
        <f>P12/E24</f>
        <v>2.1118169544517866</v>
      </c>
      <c r="F51" s="57"/>
      <c r="I51" t="s">
        <v>132</v>
      </c>
      <c r="J51" s="5">
        <f>(((O32/J18)*(1+J47))/J30)+J47</f>
        <v>5.1694240196078427E-2</v>
      </c>
      <c r="K51" s="5">
        <f>(((P32/K18)*(1+K47))/K30)+K47</f>
        <v>8.8743165881914568E-2</v>
      </c>
      <c r="P51" s="5"/>
    </row>
    <row r="52" spans="3:17" ht="18" x14ac:dyDescent="0.35">
      <c r="C52" t="s">
        <v>143</v>
      </c>
      <c r="D52" s="92">
        <f>D24/J21</f>
        <v>1.7477829942618675</v>
      </c>
      <c r="E52" s="92">
        <f>E24/K21</f>
        <v>1.6631802871831241</v>
      </c>
      <c r="F52" s="92"/>
      <c r="I52" t="s">
        <v>135</v>
      </c>
      <c r="J52">
        <f>J58+(J57-J58)*J59</f>
        <v>0.12485000000000002</v>
      </c>
      <c r="K52">
        <f>K58+(K57-K58)*K59</f>
        <v>0.14113999999999999</v>
      </c>
      <c r="P52" s="92"/>
    </row>
    <row r="53" spans="3:17" ht="18" x14ac:dyDescent="0.35">
      <c r="C53" t="s">
        <v>145</v>
      </c>
      <c r="D53" s="95">
        <f>D50*D51*D52</f>
        <v>0.10285602503912386</v>
      </c>
      <c r="E53" s="95">
        <f>E50*E51*E52</f>
        <v>0.1557879808544583</v>
      </c>
      <c r="F53" s="95"/>
      <c r="I53" t="s">
        <v>159</v>
      </c>
      <c r="J53" s="5">
        <f>($J$38*$J$52)+($J$39*$J$50)+($J$40*$J$49)*(1-$O$37)</f>
        <v>9.7862472891561664E-2</v>
      </c>
      <c r="K53" s="5">
        <f>($K$38*$K$52)+($K$39*$K$50)+($K$40*$K$49)*(1-$P$37)</f>
        <v>0.11228559240773632</v>
      </c>
      <c r="N53" s="140" t="s">
        <v>171</v>
      </c>
      <c r="O53" s="140"/>
      <c r="P53" s="5"/>
    </row>
    <row r="54" spans="3:17" ht="18" x14ac:dyDescent="0.35">
      <c r="C54" t="s">
        <v>146</v>
      </c>
      <c r="D54" s="95">
        <f>O29/J21</f>
        <v>0.10285602503912386</v>
      </c>
      <c r="E54" s="95">
        <f>P29/K21</f>
        <v>0.15578798085445833</v>
      </c>
      <c r="F54" s="95"/>
      <c r="I54" t="s">
        <v>201</v>
      </c>
      <c r="J54" s="5">
        <f>($J$43*$J$52)+($J$44*$J$50)+($J$45*O55)*(1-$O$37)</f>
        <v>9.3631272716050817E-2</v>
      </c>
      <c r="K54" s="5">
        <f>($K43*$K$52)+($K44*$K$50)+($K45*P55)*(1-$P$37)</f>
        <v>0.10499453831171288</v>
      </c>
      <c r="N54" t="s">
        <v>161</v>
      </c>
      <c r="O54" s="95">
        <v>0.12</v>
      </c>
      <c r="P54" s="95">
        <v>0.1</v>
      </c>
    </row>
    <row r="55" spans="3:17" x14ac:dyDescent="0.25">
      <c r="C55" t="s">
        <v>147</v>
      </c>
      <c r="D55" s="102">
        <f>O32/O29</f>
        <v>0.29922657537720238</v>
      </c>
      <c r="E55" s="102">
        <f>P32/P29</f>
        <v>0.40676680321650771</v>
      </c>
      <c r="F55" s="102"/>
      <c r="N55" t="s">
        <v>162</v>
      </c>
      <c r="O55" s="95">
        <v>6.5000000000000002E-2</v>
      </c>
      <c r="P55" s="95">
        <v>0.06</v>
      </c>
    </row>
    <row r="56" spans="3:17" x14ac:dyDescent="0.25">
      <c r="C56" t="s">
        <v>148</v>
      </c>
      <c r="D56" s="5">
        <f>O34/O29</f>
        <v>0.69823760618739772</v>
      </c>
      <c r="E56" s="5">
        <f>P34/P29</f>
        <v>0.59133667121832767</v>
      </c>
      <c r="F56" s="5"/>
      <c r="N56" s="56" t="s">
        <v>163</v>
      </c>
      <c r="O56">
        <v>2</v>
      </c>
      <c r="P56" s="56">
        <v>2</v>
      </c>
      <c r="Q56" s="103"/>
    </row>
    <row r="57" spans="3:17" x14ac:dyDescent="0.25">
      <c r="C57" t="s">
        <v>149</v>
      </c>
      <c r="D57" s="5">
        <f>(D48*D56)/(1-(D48*D56))</f>
        <v>4.285169593737613E-2</v>
      </c>
      <c r="E57" s="5">
        <f>(E48*E56)/(1-(E48*E56))</f>
        <v>5.8637680069206652E-2</v>
      </c>
      <c r="F57" s="5"/>
      <c r="I57" t="s">
        <v>140</v>
      </c>
      <c r="J57" s="95">
        <v>0.12</v>
      </c>
      <c r="K57" s="95">
        <v>0.14599999999999999</v>
      </c>
      <c r="N57" t="s">
        <v>164</v>
      </c>
      <c r="O57">
        <v>16</v>
      </c>
      <c r="P57">
        <v>15</v>
      </c>
    </row>
    <row r="58" spans="3:17" x14ac:dyDescent="0.25">
      <c r="C58" t="s">
        <v>151</v>
      </c>
      <c r="D58" s="5">
        <f>(D49*D56)/(1-(D49*D56))</f>
        <v>7.7374847203293656E-2</v>
      </c>
      <c r="E58" s="5">
        <f>(E49*E56)/(1-(E49*E56))</f>
        <v>0.10147097110127558</v>
      </c>
      <c r="F58" s="5"/>
      <c r="I58" t="s">
        <v>142</v>
      </c>
      <c r="J58" s="95">
        <v>2.3E-2</v>
      </c>
      <c r="K58" s="95">
        <v>2.4500000000000001E-2</v>
      </c>
      <c r="N58" t="s">
        <v>165</v>
      </c>
      <c r="O58">
        <v>30</v>
      </c>
      <c r="P58">
        <f>P56*P57</f>
        <v>30</v>
      </c>
    </row>
    <row r="59" spans="3:17" x14ac:dyDescent="0.25">
      <c r="I59" t="s">
        <v>144</v>
      </c>
      <c r="J59">
        <v>1.05</v>
      </c>
      <c r="K59" s="5">
        <v>0.96</v>
      </c>
      <c r="N59" t="s">
        <v>166</v>
      </c>
      <c r="O59">
        <v>1000</v>
      </c>
      <c r="P59">
        <v>1000</v>
      </c>
    </row>
    <row r="60" spans="3:17" x14ac:dyDescent="0.25">
      <c r="N60" t="s">
        <v>167</v>
      </c>
      <c r="O60">
        <f>O59*O54/O56</f>
        <v>60</v>
      </c>
      <c r="P60">
        <f>P59*P54/P56</f>
        <v>50</v>
      </c>
    </row>
    <row r="61" spans="3:17" x14ac:dyDescent="0.25">
      <c r="I61" t="s">
        <v>153</v>
      </c>
      <c r="J61" s="104">
        <f>D37*(1-O39)</f>
        <v>10.205000000000011</v>
      </c>
      <c r="K61" s="104">
        <f>E37*(1-P39)</f>
        <v>16.015999999999991</v>
      </c>
      <c r="N61" t="s">
        <v>168</v>
      </c>
      <c r="O61" s="105">
        <f>-PV(O55/O56,O58,O60,O59)</f>
        <v>1522.0027287723665</v>
      </c>
      <c r="P61" s="105">
        <f>-PV(P55/P56,P58,P60,P59)</f>
        <v>1392.0088269893954</v>
      </c>
    </row>
    <row r="62" spans="3:17" x14ac:dyDescent="0.25">
      <c r="I62" t="s">
        <v>156</v>
      </c>
      <c r="J62" s="79">
        <f>J15+J21</f>
        <v>103.32999999999998</v>
      </c>
      <c r="K62" s="79">
        <f>K15+K21</f>
        <v>114.15899999999998</v>
      </c>
      <c r="N62" t="s">
        <v>169</v>
      </c>
      <c r="O62" s="92">
        <f>J14/O59*1000000/1000</f>
        <v>26.33</v>
      </c>
      <c r="P62" s="92">
        <f>K14/P59*1000000/1000</f>
        <v>28.584</v>
      </c>
    </row>
    <row r="63" spans="3:17" x14ac:dyDescent="0.25">
      <c r="I63" t="s">
        <v>154</v>
      </c>
      <c r="J63" s="79">
        <f>D11+(D17-J10)</f>
        <v>103.33</v>
      </c>
      <c r="K63" s="79">
        <f>E11+(E17-K10)</f>
        <v>114.15900000000001</v>
      </c>
      <c r="N63" t="s">
        <v>170</v>
      </c>
      <c r="O63" s="106">
        <f>O62*O61</f>
        <v>40074.33184857641</v>
      </c>
      <c r="P63" s="106">
        <f>P62*P61</f>
        <v>39789.18031066488</v>
      </c>
    </row>
    <row r="64" spans="3:17" x14ac:dyDescent="0.25">
      <c r="I64" t="s">
        <v>155</v>
      </c>
      <c r="J64" s="95">
        <f>(J61/J62)</f>
        <v>9.8761250362915054E-2</v>
      </c>
      <c r="K64" s="95">
        <f>(K61/K62)</f>
        <v>0.14029555269404947</v>
      </c>
    </row>
    <row r="65" spans="9:18" x14ac:dyDescent="0.25">
      <c r="I65" t="s">
        <v>150</v>
      </c>
      <c r="J65" s="95">
        <f>O29/J62</f>
        <v>7.6328268653827719E-2</v>
      </c>
      <c r="K65" s="95">
        <f>P29/K62</f>
        <v>0.11547052794786211</v>
      </c>
      <c r="O65" s="139">
        <v>2013</v>
      </c>
      <c r="P65" s="139"/>
      <c r="Q65" s="139">
        <v>2014</v>
      </c>
      <c r="R65" s="139"/>
    </row>
    <row r="66" spans="9:18" x14ac:dyDescent="0.25">
      <c r="N66" s="40" t="s">
        <v>205</v>
      </c>
      <c r="O66" s="107" t="s">
        <v>175</v>
      </c>
      <c r="P66" s="107" t="s">
        <v>174</v>
      </c>
      <c r="Q66" s="107" t="s">
        <v>175</v>
      </c>
      <c r="R66" s="107" t="s">
        <v>174</v>
      </c>
    </row>
    <row r="67" spans="9:18" x14ac:dyDescent="0.25">
      <c r="I67" t="s">
        <v>152</v>
      </c>
      <c r="K67" s="79">
        <f>K63-J63</f>
        <v>10.829000000000008</v>
      </c>
      <c r="N67" t="s">
        <v>6</v>
      </c>
      <c r="O67" s="79">
        <f>J13+(O63/O59)</f>
        <v>40.394331848576414</v>
      </c>
      <c r="P67" s="95">
        <f>O67/O70</f>
        <v>0.38189162855128045</v>
      </c>
      <c r="Q67" s="79">
        <f>K13+(P63/P59)</f>
        <v>40.749180310664883</v>
      </c>
      <c r="R67" s="95">
        <f>Q67/Q70</f>
        <v>0.35533972731224261</v>
      </c>
    </row>
    <row r="68" spans="9:18" x14ac:dyDescent="0.25">
      <c r="I68" s="56" t="s">
        <v>157</v>
      </c>
      <c r="K68" s="52">
        <f>K61+P18-E41-E40</f>
        <v>5.1869999999999834</v>
      </c>
      <c r="N68" t="s">
        <v>172</v>
      </c>
      <c r="O68" s="79">
        <f>J33</f>
        <v>65.28</v>
      </c>
      <c r="P68" s="95">
        <f>O68/O70</f>
        <v>0.61716296249881331</v>
      </c>
      <c r="Q68" s="79">
        <f>K33</f>
        <v>73.802500000000009</v>
      </c>
      <c r="R68" s="95">
        <f>Q68/Q70</f>
        <v>0.64357025159836623</v>
      </c>
    </row>
    <row r="69" spans="9:18" x14ac:dyDescent="0.25">
      <c r="I69" t="s">
        <v>158</v>
      </c>
      <c r="K69" s="52">
        <f>K61+P18-K67</f>
        <v>9.076999999999984</v>
      </c>
      <c r="N69" t="s">
        <v>173</v>
      </c>
      <c r="O69" s="82">
        <f>E31</f>
        <v>0.1</v>
      </c>
      <c r="P69" s="133">
        <f>O69/O70</f>
        <v>9.4540894990627052E-4</v>
      </c>
      <c r="Q69" s="82">
        <f>F31</f>
        <v>0.125</v>
      </c>
      <c r="R69" s="133">
        <f>Q69/Q70</f>
        <v>1.0900210893912234E-3</v>
      </c>
    </row>
    <row r="70" spans="9:18" x14ac:dyDescent="0.25">
      <c r="N70" t="s">
        <v>79</v>
      </c>
      <c r="O70" s="92">
        <f>SUM(O67:O69)</f>
        <v>105.77433184857641</v>
      </c>
      <c r="P70" s="92">
        <f>SUM(P67:P69)</f>
        <v>1</v>
      </c>
      <c r="Q70" s="92">
        <f>SUM(Q67:Q69)</f>
        <v>114.67668031066489</v>
      </c>
      <c r="R70" s="92">
        <f>SUM(R67:R69)</f>
        <v>1</v>
      </c>
    </row>
    <row r="72" spans="9:18" x14ac:dyDescent="0.25">
      <c r="N72" t="s">
        <v>160</v>
      </c>
      <c r="O72" s="5">
        <f>R68*K52+R69*K50+R67*P55*(1-P37)</f>
        <v>0.10499453831171288</v>
      </c>
    </row>
  </sheetData>
  <mergeCells count="14">
    <mergeCell ref="Q65:R65"/>
    <mergeCell ref="O65:P65"/>
    <mergeCell ref="N53:O53"/>
    <mergeCell ref="B2:K2"/>
    <mergeCell ref="M2:P2"/>
    <mergeCell ref="B3:K3"/>
    <mergeCell ref="M3:P3"/>
    <mergeCell ref="B4:K4"/>
    <mergeCell ref="M4:P4"/>
    <mergeCell ref="B27:K27"/>
    <mergeCell ref="C29:D29"/>
    <mergeCell ref="C30:D30"/>
    <mergeCell ref="C31:D31"/>
    <mergeCell ref="C32:D32"/>
  </mergeCells>
  <pageMargins left="0.7" right="0.7" top="0.75" bottom="0.75" header="0.3" footer="0.3"/>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80" zoomScaleNormal="80" workbookViewId="0">
      <selection activeCell="N10" sqref="N10"/>
    </sheetView>
  </sheetViews>
  <sheetFormatPr defaultRowHeight="15" x14ac:dyDescent="0.25"/>
  <cols>
    <col min="5" max="5" width="11.5703125" bestFit="1" customWidth="1"/>
    <col min="6" max="8" width="10.7109375" customWidth="1"/>
    <col min="9" max="9" width="8.7109375" customWidth="1"/>
    <col min="10" max="10" width="10.5703125" bestFit="1" customWidth="1"/>
    <col min="11" max="11" width="10.5703125" customWidth="1"/>
    <col min="14" max="16" width="9.5703125" bestFit="1" customWidth="1"/>
    <col min="17" max="20" width="9.5703125" customWidth="1"/>
    <col min="21" max="21" width="9.5703125" bestFit="1" customWidth="1"/>
    <col min="22" max="27" width="12.7109375" customWidth="1"/>
    <col min="28" max="28" width="4.7109375" customWidth="1"/>
    <col min="29" max="30" width="10.5703125" customWidth="1"/>
  </cols>
  <sheetData>
    <row r="1" spans="1:30" x14ac:dyDescent="0.25">
      <c r="A1" s="139" t="s">
        <v>176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30" x14ac:dyDescent="0.25">
      <c r="A2" s="139" t="s">
        <v>36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row>
    <row r="3" spans="1:30" x14ac:dyDescent="0.25">
      <c r="A3" s="15"/>
      <c r="B3" s="15"/>
      <c r="C3" s="15"/>
      <c r="D3" s="15"/>
      <c r="E3" s="15"/>
      <c r="F3" s="15"/>
      <c r="G3" s="15"/>
      <c r="H3" s="15"/>
      <c r="I3" s="41"/>
      <c r="J3" s="15"/>
      <c r="K3" s="15"/>
      <c r="L3" s="15"/>
      <c r="M3" s="15"/>
      <c r="N3" s="15"/>
      <c r="O3" s="15"/>
      <c r="P3" s="15"/>
      <c r="Q3" s="109"/>
      <c r="R3" s="109"/>
      <c r="S3" s="109"/>
      <c r="T3" s="109"/>
      <c r="U3" s="15"/>
      <c r="V3" s="15"/>
      <c r="W3" s="53"/>
      <c r="X3" s="53"/>
      <c r="Y3" s="53"/>
      <c r="Z3" s="53"/>
      <c r="AA3" s="53"/>
      <c r="AB3" s="15"/>
      <c r="AC3" s="15"/>
      <c r="AD3" s="15"/>
    </row>
    <row r="4" spans="1:30" x14ac:dyDescent="0.25">
      <c r="I4" s="40">
        <v>2013</v>
      </c>
      <c r="J4" s="40">
        <v>2014</v>
      </c>
    </row>
    <row r="5" spans="1:30" ht="18" x14ac:dyDescent="0.35">
      <c r="A5" s="155" t="s">
        <v>195</v>
      </c>
      <c r="B5" s="156"/>
      <c r="C5" s="156"/>
      <c r="D5" s="95">
        <v>0.04</v>
      </c>
      <c r="F5" s="156" t="s">
        <v>206</v>
      </c>
      <c r="G5" s="156"/>
      <c r="H5" s="156"/>
      <c r="I5">
        <f>'Fin Stmt'!J15</f>
        <v>26.65</v>
      </c>
      <c r="J5">
        <f>'Fin Stmt'!K15</f>
        <v>29.544</v>
      </c>
      <c r="M5" s="15" t="s">
        <v>18</v>
      </c>
      <c r="N5" s="15" t="s">
        <v>19</v>
      </c>
      <c r="O5" s="15" t="s">
        <v>20</v>
      </c>
      <c r="P5" s="15" t="s">
        <v>21</v>
      </c>
      <c r="Q5" s="109"/>
      <c r="R5" s="14"/>
      <c r="S5" s="15" t="s">
        <v>15</v>
      </c>
      <c r="T5" s="53"/>
      <c r="X5" s="53"/>
      <c r="Y5" s="53"/>
      <c r="Z5" s="53"/>
      <c r="AA5" s="53"/>
    </row>
    <row r="6" spans="1:30" x14ac:dyDescent="0.25">
      <c r="A6" s="156" t="s">
        <v>196</v>
      </c>
      <c r="B6" s="156"/>
      <c r="C6" s="156"/>
      <c r="D6" s="95">
        <f>(Y34-Y33)/Y33</f>
        <v>9.9953276555066597E-2</v>
      </c>
      <c r="M6" s="14">
        <f>J5</f>
        <v>29.544</v>
      </c>
      <c r="N6" s="14">
        <f>'Fin Stmt'!K18</f>
        <v>5.57</v>
      </c>
      <c r="O6" s="14">
        <f>'Fin Stmt'!K19</f>
        <v>0.09</v>
      </c>
      <c r="P6" s="14">
        <f>SUM(M6:O6)</f>
        <v>35.204000000000008</v>
      </c>
      <c r="Q6" s="108"/>
      <c r="R6" s="14"/>
      <c r="S6" s="117">
        <f>((M8*M10)*(1-D7))+(N8*N10)+(O8*P10)</f>
        <v>0.11228559240773632</v>
      </c>
      <c r="T6" s="16"/>
      <c r="X6" s="16"/>
      <c r="Y6" s="16"/>
      <c r="Z6" s="16"/>
      <c r="AA6" s="16"/>
    </row>
    <row r="7" spans="1:30" ht="18" x14ac:dyDescent="0.35">
      <c r="A7" s="156" t="s">
        <v>9</v>
      </c>
      <c r="B7" s="156"/>
      <c r="C7" s="156"/>
      <c r="D7" s="95">
        <f>'Fin Stmt'!P37</f>
        <v>0.3500000000000002</v>
      </c>
      <c r="G7" s="40" t="s">
        <v>197</v>
      </c>
      <c r="M7" s="15" t="s">
        <v>22</v>
      </c>
      <c r="N7" s="15" t="s">
        <v>23</v>
      </c>
      <c r="O7" s="15" t="s">
        <v>24</v>
      </c>
      <c r="P7" s="14"/>
      <c r="Q7" s="108"/>
      <c r="R7" s="14"/>
      <c r="S7" s="14"/>
      <c r="T7" s="14"/>
      <c r="X7" s="14"/>
      <c r="Y7" s="14"/>
      <c r="Z7" s="14"/>
      <c r="AA7" s="14"/>
    </row>
    <row r="8" spans="1:30" ht="18" x14ac:dyDescent="0.35">
      <c r="A8" s="156" t="s">
        <v>17</v>
      </c>
      <c r="B8" s="156"/>
      <c r="C8" s="156"/>
      <c r="D8" s="116">
        <f>S6</f>
        <v>0.11228559240773632</v>
      </c>
      <c r="E8" s="8"/>
      <c r="F8" s="8"/>
      <c r="G8" s="6" t="s">
        <v>43</v>
      </c>
      <c r="H8" s="95">
        <f>D8</f>
        <v>0.11228559240773632</v>
      </c>
      <c r="I8" s="6" t="s">
        <v>44</v>
      </c>
      <c r="J8" s="95">
        <f>H8</f>
        <v>0.11228559240773632</v>
      </c>
      <c r="M8" s="14">
        <f>M6/$P$6</f>
        <v>0.83922281558913747</v>
      </c>
      <c r="N8" s="14">
        <f>N6/$P$6</f>
        <v>0.15822065674355185</v>
      </c>
      <c r="O8" s="14">
        <f>O6/$P$6</f>
        <v>2.5565276673105322E-3</v>
      </c>
      <c r="P8" s="14"/>
      <c r="Q8" s="108"/>
      <c r="R8" s="14"/>
      <c r="S8" s="14"/>
      <c r="T8" s="14"/>
      <c r="X8" s="14"/>
      <c r="Y8" s="14"/>
      <c r="Z8" s="14"/>
      <c r="AA8" s="14"/>
    </row>
    <row r="9" spans="1:30" ht="31.5" x14ac:dyDescent="0.35">
      <c r="A9" s="161"/>
      <c r="B9" s="161"/>
      <c r="C9" s="161"/>
      <c r="D9" s="95"/>
      <c r="G9" s="6" t="s">
        <v>42</v>
      </c>
      <c r="H9" s="5"/>
      <c r="M9" s="15" t="s">
        <v>26</v>
      </c>
      <c r="N9" s="15" t="s">
        <v>27</v>
      </c>
      <c r="O9" s="9" t="s">
        <v>63</v>
      </c>
      <c r="P9" s="15" t="s">
        <v>28</v>
      </c>
      <c r="Q9" s="109"/>
      <c r="R9" s="15" t="s">
        <v>25</v>
      </c>
      <c r="S9" s="15" t="s">
        <v>29</v>
      </c>
      <c r="T9" s="15" t="s">
        <v>30</v>
      </c>
      <c r="X9" s="53"/>
      <c r="Y9" s="53"/>
      <c r="Z9" s="53"/>
      <c r="AA9" s="53"/>
    </row>
    <row r="10" spans="1:30" x14ac:dyDescent="0.25">
      <c r="A10" s="6"/>
      <c r="B10" s="6"/>
      <c r="C10" s="6"/>
      <c r="M10" s="117">
        <f>I14/I5</f>
        <v>0.16360225140712947</v>
      </c>
      <c r="N10" s="117">
        <f>S10+(T10-S10)*R10</f>
        <v>0.14113999999999999</v>
      </c>
      <c r="O10">
        <f>'Fin Stmt'!P33</f>
        <v>2.5000000000000001E-2</v>
      </c>
      <c r="P10" s="117">
        <f>O10/O6</f>
        <v>0.27777777777777779</v>
      </c>
      <c r="Q10" s="117"/>
      <c r="R10" s="16">
        <f>'Fin Stmt'!K59</f>
        <v>0.96</v>
      </c>
      <c r="S10" s="117">
        <f>'Fin Stmt'!K58</f>
        <v>2.4500000000000001E-2</v>
      </c>
      <c r="T10" s="117">
        <f>'Fin Stmt'!K57</f>
        <v>0.14599999999999999</v>
      </c>
      <c r="X10" s="16"/>
      <c r="Y10" s="16"/>
      <c r="Z10" s="16"/>
      <c r="AA10" s="16"/>
    </row>
    <row r="11" spans="1:30" ht="30" customHeight="1" x14ac:dyDescent="0.25">
      <c r="A11" s="157" t="s">
        <v>10</v>
      </c>
      <c r="B11" s="157"/>
      <c r="C11" s="157"/>
      <c r="D11" s="5">
        <f>C14/(J14-C14)</f>
        <v>0.3491579507179578</v>
      </c>
      <c r="F11" s="157" t="s">
        <v>11</v>
      </c>
      <c r="G11" s="157"/>
      <c r="H11" s="157"/>
      <c r="I11" s="5">
        <f>D14/L14</f>
        <v>35.079792256846041</v>
      </c>
      <c r="J11" s="5"/>
    </row>
    <row r="12" spans="1:30" x14ac:dyDescent="0.25">
      <c r="G12" s="40"/>
    </row>
    <row r="13" spans="1:30" ht="30" x14ac:dyDescent="0.25">
      <c r="B13" s="9" t="s">
        <v>0</v>
      </c>
      <c r="C13" s="9" t="s">
        <v>6</v>
      </c>
      <c r="D13" s="9" t="s">
        <v>1</v>
      </c>
      <c r="E13" s="9" t="s">
        <v>16</v>
      </c>
      <c r="F13" s="9" t="s">
        <v>2</v>
      </c>
      <c r="G13" s="9" t="s">
        <v>55</v>
      </c>
      <c r="H13" s="9" t="s">
        <v>38</v>
      </c>
      <c r="I13" s="9" t="s">
        <v>3</v>
      </c>
      <c r="J13" s="9" t="s">
        <v>12</v>
      </c>
      <c r="K13" s="9" t="s">
        <v>8</v>
      </c>
      <c r="L13" s="28" t="s">
        <v>14</v>
      </c>
      <c r="M13" s="10" t="s">
        <v>62</v>
      </c>
      <c r="N13" s="9" t="s">
        <v>13</v>
      </c>
      <c r="O13" s="9" t="s">
        <v>7</v>
      </c>
      <c r="P13" s="9"/>
      <c r="Q13" s="9"/>
      <c r="R13" s="9"/>
      <c r="S13" s="9"/>
      <c r="T13" s="9"/>
      <c r="U13" s="9"/>
      <c r="AB13" s="12"/>
    </row>
    <row r="14" spans="1:30" x14ac:dyDescent="0.25">
      <c r="B14" s="3">
        <v>2014</v>
      </c>
      <c r="C14" s="3">
        <f>'Fin Stmt'!K15</f>
        <v>29.544</v>
      </c>
      <c r="D14" s="13">
        <f>'Fin Stmt'!P12</f>
        <v>297.19599999999997</v>
      </c>
      <c r="E14" s="13">
        <f>'Fin Stmt'!P15</f>
        <v>211.46</v>
      </c>
      <c r="F14" s="13">
        <f>'Fin Stmt'!P16+'Fin Stmt'!P17</f>
        <v>57.206000000000003</v>
      </c>
      <c r="G14" s="13">
        <f>'Fin Stmt'!P18</f>
        <v>3.89</v>
      </c>
      <c r="H14" s="23">
        <f>'Fin Stmt'!P12-'Fin Stmt'!P19</f>
        <v>24.639999999999986</v>
      </c>
      <c r="I14" s="13">
        <f>'Fin Stmt'!P24</f>
        <v>4.3600000000000003</v>
      </c>
      <c r="J14" s="3">
        <f>'Fin Stmt'!K63</f>
        <v>114.15900000000001</v>
      </c>
      <c r="K14" s="3">
        <f>(D14-E14-F14-G14)*(1-$D$7)</f>
        <v>16.015999999999966</v>
      </c>
      <c r="L14" s="3">
        <f>('Fin Stmt'!E11-'Fin Stmt'!K10)-('Fin Stmt'!D11-'Fin Stmt'!J10)</f>
        <v>8.4720000000000084</v>
      </c>
      <c r="M14" s="13">
        <f>'Fin Stmt'!E17-'Fin Stmt'!D17+'Fin Stmt'!P18</f>
        <v>6.2469999999999999</v>
      </c>
      <c r="N14" s="13">
        <f>K14+G14-L14-M14</f>
        <v>5.1869999999999585</v>
      </c>
      <c r="O14" s="121">
        <f>K14/J14</f>
        <v>0.14029555269404922</v>
      </c>
      <c r="P14" s="23"/>
      <c r="Q14" s="23"/>
      <c r="R14" s="23"/>
      <c r="S14" s="23"/>
      <c r="T14" s="23"/>
      <c r="AB14" s="24"/>
      <c r="AC14" s="30"/>
      <c r="AD14" s="30"/>
    </row>
    <row r="15" spans="1:30" x14ac:dyDescent="0.25">
      <c r="B15" s="2"/>
      <c r="C15" s="2"/>
      <c r="D15" s="2"/>
      <c r="E15" s="2"/>
      <c r="F15" s="2"/>
      <c r="G15" s="2"/>
      <c r="H15" s="14"/>
      <c r="I15" s="2"/>
      <c r="J15" s="2"/>
      <c r="K15" s="2"/>
      <c r="L15" s="2"/>
      <c r="M15" s="2"/>
      <c r="N15" s="2"/>
      <c r="O15" s="120"/>
      <c r="P15" s="14"/>
      <c r="Q15" s="108"/>
      <c r="R15" s="108"/>
      <c r="S15" s="108"/>
      <c r="T15" s="108"/>
      <c r="AB15" s="14"/>
      <c r="AC15" s="31"/>
      <c r="AD15" s="31"/>
    </row>
    <row r="16" spans="1:30" x14ac:dyDescent="0.25">
      <c r="B16" s="40" t="s">
        <v>4</v>
      </c>
      <c r="C16" s="9"/>
      <c r="D16" s="120">
        <v>8.5999999999999993E-2</v>
      </c>
      <c r="E16" s="120">
        <f>E14/$D$14</f>
        <v>0.71151697869419517</v>
      </c>
      <c r="F16" s="120">
        <f>F14/$D$14</f>
        <v>0.19248576696859987</v>
      </c>
      <c r="G16" s="120">
        <f>G14/$D$14</f>
        <v>1.3089005235602096E-2</v>
      </c>
      <c r="H16" s="117"/>
      <c r="I16" s="120">
        <f>I14/$I$5</f>
        <v>0.16360225140712947</v>
      </c>
      <c r="J16" s="7"/>
      <c r="K16" s="7"/>
      <c r="L16" s="2"/>
      <c r="M16" s="2"/>
      <c r="N16" s="2"/>
      <c r="O16" s="120"/>
      <c r="P16" s="14"/>
      <c r="Q16" s="108"/>
      <c r="R16" s="108"/>
      <c r="S16" s="108"/>
      <c r="T16" s="108"/>
      <c r="AB16" s="14"/>
      <c r="AC16" s="31"/>
      <c r="AD16" s="31"/>
    </row>
    <row r="17" spans="1:32" x14ac:dyDescent="0.25">
      <c r="H17" s="14"/>
      <c r="O17" s="95"/>
      <c r="P17" s="14"/>
      <c r="Q17" s="108"/>
      <c r="R17" s="108"/>
      <c r="S17" s="108"/>
      <c r="T17" s="108"/>
      <c r="AB17" s="14"/>
      <c r="AC17" s="31"/>
      <c r="AD17" s="31"/>
    </row>
    <row r="18" spans="1:32" x14ac:dyDescent="0.25">
      <c r="A18" s="40">
        <v>1</v>
      </c>
      <c r="B18" s="3">
        <f>B14+1</f>
        <v>2015</v>
      </c>
      <c r="C18" s="13">
        <f>($D$11*J14/(1+$D$11))</f>
        <v>29.543999999999997</v>
      </c>
      <c r="D18" s="13">
        <f>D14*(1+$D$5)</f>
        <v>309.08383999999995</v>
      </c>
      <c r="E18" s="13">
        <f t="shared" ref="E18:G19" si="0">E$16*$D18</f>
        <v>219.91839999999999</v>
      </c>
      <c r="F18" s="13">
        <f t="shared" si="0"/>
        <v>59.494239999999998</v>
      </c>
      <c r="G18" s="13">
        <f t="shared" si="0"/>
        <v>4.0456000000000003</v>
      </c>
      <c r="H18" s="23">
        <f>D18-E18-F18-G18</f>
        <v>25.625599999999963</v>
      </c>
      <c r="I18" s="13">
        <f t="shared" ref="I18:I23" si="1">I$16*C18</f>
        <v>4.8334649155722325</v>
      </c>
      <c r="J18" s="13">
        <f>J14+L18+M18</f>
        <v>129.46676000000002</v>
      </c>
      <c r="K18" s="13">
        <f t="shared" ref="K18:K23" si="2">(D18-E18-F18-G18)*(1-$D$7)</f>
        <v>16.656639999999971</v>
      </c>
      <c r="L18" s="13">
        <f>L14*(1+$D$5)</f>
        <v>8.8108800000000098</v>
      </c>
      <c r="M18" s="13">
        <f>M14*(1+$D$5)</f>
        <v>6.49688</v>
      </c>
      <c r="N18" s="13">
        <f>K18+G18-L18-M18</f>
        <v>5.3944799999999615</v>
      </c>
      <c r="O18" s="121">
        <f t="shared" ref="O18:O23" si="3">K18/J18</f>
        <v>0.12865572599484199</v>
      </c>
      <c r="P18" s="16"/>
      <c r="Q18" s="16"/>
      <c r="R18" s="16"/>
      <c r="S18" s="16"/>
      <c r="T18" s="16"/>
      <c r="U18" s="5"/>
      <c r="AB18" s="154"/>
      <c r="AD18" s="52"/>
      <c r="AF18" s="52"/>
    </row>
    <row r="19" spans="1:32" x14ac:dyDescent="0.25">
      <c r="A19" s="40">
        <f>A18+1</f>
        <v>2</v>
      </c>
      <c r="B19" s="3">
        <f t="shared" ref="B19:B23" si="4">B18+1</f>
        <v>2016</v>
      </c>
      <c r="C19" s="13">
        <f>($D$11*J18/(1+$D$11))</f>
        <v>33.505601463222348</v>
      </c>
      <c r="D19" s="13">
        <f t="shared" ref="D19:D23" si="5">D18*(1+$D$5)</f>
        <v>321.44719359999993</v>
      </c>
      <c r="E19" s="13">
        <f t="shared" si="0"/>
        <v>228.71513599999997</v>
      </c>
      <c r="F19" s="13">
        <f t="shared" si="0"/>
        <v>61.874009599999994</v>
      </c>
      <c r="G19" s="13">
        <f t="shared" si="0"/>
        <v>4.2074239999999996</v>
      </c>
      <c r="H19" s="23">
        <f t="shared" ref="H19:H23" si="6">D19-E19-F19-G19</f>
        <v>26.650623999999969</v>
      </c>
      <c r="I19" s="13">
        <f>I$16*C19</f>
        <v>5.4815918341331873</v>
      </c>
      <c r="J19" s="13">
        <f>J18+L19+M19</f>
        <v>145.38683040000001</v>
      </c>
      <c r="K19" s="13">
        <f t="shared" si="2"/>
        <v>17.322905599999974</v>
      </c>
      <c r="L19" s="13">
        <f>L18*(1+$D$5)</f>
        <v>9.1633152000000102</v>
      </c>
      <c r="M19" s="13">
        <f>M18*(1+$D$5)</f>
        <v>6.7567552000000006</v>
      </c>
      <c r="N19" s="13">
        <f t="shared" ref="N19:N23" si="7">K19+G19-L19-M19</f>
        <v>5.6102591999999625</v>
      </c>
      <c r="O19" s="121">
        <f t="shared" si="3"/>
        <v>0.11915044541750992</v>
      </c>
      <c r="P19" s="16"/>
      <c r="Q19" s="16"/>
      <c r="R19" s="16"/>
      <c r="S19" s="16"/>
      <c r="T19" s="16"/>
      <c r="U19" s="5"/>
      <c r="AB19" s="154"/>
      <c r="AD19" s="52"/>
      <c r="AF19" s="52"/>
    </row>
    <row r="20" spans="1:32" x14ac:dyDescent="0.25">
      <c r="A20" s="40">
        <f t="shared" ref="A20:A22" si="8">A19+1</f>
        <v>3</v>
      </c>
      <c r="B20" s="3">
        <f t="shared" si="4"/>
        <v>2017</v>
      </c>
      <c r="C20" s="13">
        <f t="shared" ref="C20:C22" si="9">($D$11*J19/(1+$D$11))</f>
        <v>37.625666984973591</v>
      </c>
      <c r="D20" s="13">
        <f t="shared" si="5"/>
        <v>334.30508134399992</v>
      </c>
      <c r="E20" s="13">
        <f t="shared" ref="E20:G23" si="10">E$16*$D20</f>
        <v>237.86374143999998</v>
      </c>
      <c r="F20" s="13">
        <f t="shared" si="10"/>
        <v>64.348969983999993</v>
      </c>
      <c r="G20" s="13">
        <f t="shared" si="10"/>
        <v>4.3757209599999998</v>
      </c>
      <c r="H20" s="23">
        <f t="shared" si="6"/>
        <v>27.71664895999994</v>
      </c>
      <c r="I20" s="13">
        <f t="shared" si="1"/>
        <v>6.1556438294365803</v>
      </c>
      <c r="J20" s="13">
        <f>J19+L20+M20</f>
        <v>161.94370361600002</v>
      </c>
      <c r="K20" s="13">
        <f t="shared" si="2"/>
        <v>18.015821823999957</v>
      </c>
      <c r="L20" s="13">
        <f t="shared" ref="L20:M23" si="11">L19*(1+$D$5)</f>
        <v>9.5298478080000102</v>
      </c>
      <c r="M20" s="13">
        <f t="shared" si="11"/>
        <v>7.027025408000001</v>
      </c>
      <c r="N20" s="13">
        <f t="shared" si="7"/>
        <v>5.8346695679999447</v>
      </c>
      <c r="O20" s="121">
        <f t="shared" si="3"/>
        <v>0.11124743612582166</v>
      </c>
      <c r="P20" s="16"/>
      <c r="Q20" s="16"/>
      <c r="R20" s="16"/>
      <c r="S20" s="16"/>
      <c r="T20" s="16"/>
      <c r="U20" s="5"/>
      <c r="AB20" s="154"/>
      <c r="AD20" s="52"/>
      <c r="AF20" s="52"/>
    </row>
    <row r="21" spans="1:32" x14ac:dyDescent="0.25">
      <c r="A21" s="40">
        <f t="shared" si="8"/>
        <v>4</v>
      </c>
      <c r="B21" s="3">
        <f t="shared" si="4"/>
        <v>2018</v>
      </c>
      <c r="C21" s="13">
        <f t="shared" si="9"/>
        <v>41.910535127594883</v>
      </c>
      <c r="D21" s="13">
        <f t="shared" si="5"/>
        <v>347.67728459775992</v>
      </c>
      <c r="E21" s="13">
        <f t="shared" si="10"/>
        <v>247.37829109759997</v>
      </c>
      <c r="F21" s="13">
        <f t="shared" si="10"/>
        <v>66.922928783359993</v>
      </c>
      <c r="G21" s="13">
        <f t="shared" si="10"/>
        <v>4.5507497983999992</v>
      </c>
      <c r="H21" s="23">
        <f t="shared" si="6"/>
        <v>28.825314918399961</v>
      </c>
      <c r="I21" s="13">
        <f t="shared" si="1"/>
        <v>6.856657904552109</v>
      </c>
      <c r="J21" s="13">
        <f>J20+L21+M21</f>
        <v>179.16285176064002</v>
      </c>
      <c r="K21" s="13">
        <f t="shared" si="2"/>
        <v>18.736454696959967</v>
      </c>
      <c r="L21" s="13">
        <f t="shared" si="11"/>
        <v>9.9110417203200107</v>
      </c>
      <c r="M21" s="13">
        <f t="shared" si="11"/>
        <v>7.3081064243200009</v>
      </c>
      <c r="N21" s="13">
        <f t="shared" si="7"/>
        <v>6.0680563507199539</v>
      </c>
      <c r="O21" s="121">
        <f t="shared" si="3"/>
        <v>0.10457778782172827</v>
      </c>
      <c r="P21" s="16"/>
      <c r="Q21" s="16"/>
      <c r="R21" s="16"/>
      <c r="S21" s="16"/>
      <c r="T21" s="16"/>
      <c r="U21" s="5"/>
      <c r="AB21" s="154"/>
      <c r="AD21" s="52"/>
      <c r="AF21" s="52"/>
    </row>
    <row r="22" spans="1:32" x14ac:dyDescent="0.25">
      <c r="A22" s="40">
        <f t="shared" si="8"/>
        <v>5</v>
      </c>
      <c r="B22" s="3">
        <f t="shared" si="4"/>
        <v>2019</v>
      </c>
      <c r="C22" s="13">
        <f t="shared" si="9"/>
        <v>46.366797995921026</v>
      </c>
      <c r="D22" s="13">
        <f t="shared" si="5"/>
        <v>361.58437598167035</v>
      </c>
      <c r="E22" s="13">
        <f t="shared" si="10"/>
        <v>257.27342274150402</v>
      </c>
      <c r="F22" s="13">
        <f t="shared" si="10"/>
        <v>69.5998459346944</v>
      </c>
      <c r="G22" s="13">
        <f t="shared" si="10"/>
        <v>4.732779790336</v>
      </c>
      <c r="H22" s="23">
        <f t="shared" si="6"/>
        <v>29.978327515135927</v>
      </c>
      <c r="I22" s="13">
        <f t="shared" si="1"/>
        <v>7.5857125426722583</v>
      </c>
      <c r="J22" s="13">
        <f>J21+L22+M22</f>
        <v>197.07076583106564</v>
      </c>
      <c r="K22" s="13">
        <f t="shared" si="2"/>
        <v>19.485912884838346</v>
      </c>
      <c r="L22" s="13">
        <f>L21*(1+$D$5)</f>
        <v>10.307483389132811</v>
      </c>
      <c r="M22" s="13">
        <f t="shared" si="11"/>
        <v>7.6004306812928011</v>
      </c>
      <c r="N22" s="13">
        <f t="shared" si="7"/>
        <v>6.3107786047487338</v>
      </c>
      <c r="O22" s="121">
        <f t="shared" si="3"/>
        <v>9.8877744766781864E-2</v>
      </c>
      <c r="P22" s="16"/>
      <c r="Q22" s="16"/>
      <c r="R22" s="16"/>
      <c r="S22" s="16"/>
      <c r="T22" s="16"/>
      <c r="U22" s="5"/>
      <c r="AB22" s="154"/>
      <c r="AD22" s="52"/>
      <c r="AF22" s="52"/>
    </row>
    <row r="23" spans="1:32" ht="18" x14ac:dyDescent="0.35">
      <c r="A23" s="107" t="s">
        <v>187</v>
      </c>
      <c r="B23" s="3">
        <f t="shared" si="4"/>
        <v>2020</v>
      </c>
      <c r="C23" s="13">
        <f>($D$11*J22/(1+$D$11))</f>
        <v>51.001311378980226</v>
      </c>
      <c r="D23" s="13">
        <f t="shared" si="5"/>
        <v>376.0477510209372</v>
      </c>
      <c r="E23" s="13">
        <f t="shared" si="10"/>
        <v>267.56435965116418</v>
      </c>
      <c r="F23" s="13">
        <f t="shared" si="10"/>
        <v>72.383839772082183</v>
      </c>
      <c r="G23" s="13">
        <f t="shared" si="10"/>
        <v>4.9220909819494407</v>
      </c>
      <c r="H23" s="23">
        <f t="shared" si="6"/>
        <v>31.177460615741392</v>
      </c>
      <c r="I23" s="13">
        <f t="shared" si="1"/>
        <v>8.3439293663172158</v>
      </c>
      <c r="J23" s="13">
        <f>J22+L23+M23</f>
        <v>215.69499646430828</v>
      </c>
      <c r="K23" s="13">
        <f t="shared" si="2"/>
        <v>20.265349400231898</v>
      </c>
      <c r="L23" s="13">
        <f t="shared" si="11"/>
        <v>10.719782724698124</v>
      </c>
      <c r="M23" s="13">
        <f t="shared" si="11"/>
        <v>7.9044479085445136</v>
      </c>
      <c r="N23" s="13">
        <f t="shared" si="7"/>
        <v>6.5632097489387018</v>
      </c>
      <c r="O23" s="121">
        <f t="shared" si="3"/>
        <v>9.3953729722169366E-2</v>
      </c>
      <c r="P23" s="4"/>
      <c r="Q23" s="4"/>
      <c r="R23" s="4"/>
      <c r="S23" s="4"/>
      <c r="T23" s="4"/>
      <c r="AB23" s="154"/>
      <c r="AD23" s="52"/>
      <c r="AF23" s="52"/>
    </row>
    <row r="24" spans="1:32" x14ac:dyDescent="0.25">
      <c r="A24" s="40"/>
      <c r="B24" s="3"/>
      <c r="C24" s="13"/>
      <c r="D24" s="13"/>
      <c r="E24" s="13"/>
      <c r="F24" s="13"/>
      <c r="G24" s="13"/>
      <c r="H24" s="13"/>
      <c r="I24" s="13"/>
      <c r="J24" s="13"/>
      <c r="K24" s="13"/>
      <c r="L24" s="13"/>
      <c r="M24" s="13"/>
      <c r="N24" s="13"/>
      <c r="O24" s="13"/>
      <c r="P24" s="4"/>
      <c r="Q24" s="4"/>
      <c r="R24" s="4"/>
      <c r="S24" s="4"/>
      <c r="T24" s="4"/>
      <c r="U24" s="16"/>
      <c r="AB24" s="25"/>
    </row>
    <row r="25" spans="1:32" x14ac:dyDescent="0.25">
      <c r="A25" s="40"/>
      <c r="U25" s="14"/>
      <c r="AB25" s="14"/>
    </row>
    <row r="26" spans="1:32" ht="30" customHeight="1" x14ac:dyDescent="0.25">
      <c r="A26" s="40"/>
      <c r="B26" s="152" t="s">
        <v>33</v>
      </c>
      <c r="C26" s="152"/>
      <c r="D26" s="152"/>
      <c r="E26" s="152"/>
      <c r="F26" s="152"/>
      <c r="G26" s="152"/>
      <c r="H26" s="152"/>
      <c r="I26" s="113"/>
      <c r="J26" s="153" t="s">
        <v>13</v>
      </c>
      <c r="K26" s="153"/>
      <c r="L26" s="153"/>
      <c r="M26" s="113"/>
      <c r="N26" s="159" t="s">
        <v>189</v>
      </c>
      <c r="O26" s="159"/>
      <c r="P26" s="159"/>
      <c r="Q26" s="112"/>
      <c r="R26" s="160" t="s">
        <v>190</v>
      </c>
      <c r="S26" s="160"/>
      <c r="T26" s="160"/>
      <c r="U26" s="113"/>
      <c r="V26" s="158" t="s">
        <v>56</v>
      </c>
      <c r="W26" s="158"/>
      <c r="X26" s="158"/>
      <c r="Y26" s="158"/>
      <c r="Z26" s="158"/>
      <c r="AA26" s="158"/>
      <c r="AB26" s="26"/>
    </row>
    <row r="27" spans="1:32" ht="33" x14ac:dyDescent="0.35">
      <c r="A27" s="40"/>
      <c r="B27" s="20" t="s">
        <v>0</v>
      </c>
      <c r="C27" s="20" t="s">
        <v>12</v>
      </c>
      <c r="D27" s="20" t="s">
        <v>7</v>
      </c>
      <c r="E27" s="20" t="s">
        <v>15</v>
      </c>
      <c r="F27" s="20" t="s">
        <v>37</v>
      </c>
      <c r="G27" s="20" t="s">
        <v>45</v>
      </c>
      <c r="H27" s="20" t="s">
        <v>46</v>
      </c>
      <c r="J27" s="44" t="s">
        <v>13</v>
      </c>
      <c r="K27" s="44" t="s">
        <v>47</v>
      </c>
      <c r="L27" s="44" t="s">
        <v>48</v>
      </c>
      <c r="M27" s="22"/>
      <c r="N27" s="109" t="str">
        <f>J27</f>
        <v>FCF</v>
      </c>
      <c r="O27" s="115" t="s">
        <v>177</v>
      </c>
      <c r="P27" s="115" t="s">
        <v>178</v>
      </c>
      <c r="Q27" s="115"/>
      <c r="R27" s="123" t="str">
        <f>N27</f>
        <v>FCF</v>
      </c>
      <c r="S27" s="124" t="s">
        <v>191</v>
      </c>
      <c r="T27" s="124" t="s">
        <v>192</v>
      </c>
      <c r="V27" s="54" t="s">
        <v>13</v>
      </c>
      <c r="W27" s="54" t="s">
        <v>60</v>
      </c>
      <c r="X27" s="54" t="s">
        <v>61</v>
      </c>
      <c r="Y27" s="54" t="s">
        <v>57</v>
      </c>
      <c r="Z27" s="54" t="s">
        <v>58</v>
      </c>
      <c r="AA27" s="54" t="s">
        <v>59</v>
      </c>
      <c r="AB27" s="27"/>
      <c r="AC27" s="34"/>
      <c r="AD27" s="34"/>
    </row>
    <row r="28" spans="1:32" x14ac:dyDescent="0.25">
      <c r="A28" s="40">
        <v>0</v>
      </c>
      <c r="B28" s="18">
        <f>B14</f>
        <v>2014</v>
      </c>
      <c r="C28" s="18">
        <f>J14</f>
        <v>114.15900000000001</v>
      </c>
      <c r="D28" s="118">
        <f>O14</f>
        <v>0.14029555269404922</v>
      </c>
      <c r="E28" s="118">
        <f>$D$8</f>
        <v>0.11228559240773632</v>
      </c>
      <c r="F28" s="21">
        <f t="shared" ref="F28:F34" si="12">C28*(D28-E28)</f>
        <v>3.197589056325195</v>
      </c>
      <c r="G28" s="49"/>
      <c r="H28" s="14"/>
      <c r="J28" s="45">
        <f>N14</f>
        <v>5.1869999999999585</v>
      </c>
      <c r="K28" s="46"/>
      <c r="L28" s="46"/>
      <c r="N28">
        <f t="shared" ref="N28:N34" si="13">J28</f>
        <v>5.1869999999999585</v>
      </c>
      <c r="R28" s="125">
        <f t="shared" ref="R28:R34" si="14">N28</f>
        <v>5.1869999999999585</v>
      </c>
      <c r="S28" s="125"/>
      <c r="T28" s="125"/>
      <c r="V28" s="55">
        <f>N14</f>
        <v>5.1869999999999585</v>
      </c>
      <c r="W28" s="31"/>
      <c r="X28" s="31"/>
      <c r="Y28" s="55">
        <f>I14*$D$7</f>
        <v>1.5260000000000009</v>
      </c>
      <c r="Z28" s="31"/>
      <c r="AA28" s="31"/>
      <c r="AB28" s="11"/>
      <c r="AC28" s="37"/>
      <c r="AD28" s="35"/>
    </row>
    <row r="29" spans="1:32" x14ac:dyDescent="0.25">
      <c r="A29" s="40">
        <v>1</v>
      </c>
      <c r="B29" s="18">
        <f t="shared" ref="B29:B34" si="15">B18</f>
        <v>2015</v>
      </c>
      <c r="C29" s="29">
        <f t="shared" ref="C29:C34" si="16">J18</f>
        <v>129.46676000000002</v>
      </c>
      <c r="D29" s="118">
        <f t="shared" ref="D29:D34" si="17">O18</f>
        <v>0.12865572599484199</v>
      </c>
      <c r="E29" s="118">
        <f>$D$8</f>
        <v>0.11228559240773632</v>
      </c>
      <c r="F29" s="21">
        <f t="shared" si="12"/>
        <v>2.1193881562897485</v>
      </c>
      <c r="G29" s="119">
        <f>F29/((1+$D$8)^A29)</f>
        <v>1.9054352324226036</v>
      </c>
      <c r="H29" s="119">
        <f>G29</f>
        <v>1.9054352324226036</v>
      </c>
      <c r="J29" s="45">
        <f t="shared" ref="J29:J34" si="18">N18</f>
        <v>5.3944799999999615</v>
      </c>
      <c r="K29" s="47">
        <f>J29/((1+$D$8)^A29)</f>
        <v>4.8499054890414142</v>
      </c>
      <c r="L29" s="47">
        <f>K29</f>
        <v>4.8499054890414142</v>
      </c>
      <c r="N29" s="52">
        <f t="shared" si="13"/>
        <v>5.3944799999999615</v>
      </c>
      <c r="O29" s="52">
        <f t="shared" ref="O29" si="19">K29</f>
        <v>4.8499054890414142</v>
      </c>
      <c r="P29" s="52">
        <f t="shared" ref="P29" si="20">L29</f>
        <v>4.8499054890414142</v>
      </c>
      <c r="Q29" s="52"/>
      <c r="R29" s="126">
        <f t="shared" si="14"/>
        <v>5.3944799999999615</v>
      </c>
      <c r="S29" s="126">
        <f t="shared" ref="S29:S33" si="21">O29</f>
        <v>4.8499054890414142</v>
      </c>
      <c r="T29" s="126">
        <f t="shared" ref="T29:T33" si="22">P29</f>
        <v>4.8499054890414142</v>
      </c>
      <c r="U29" s="11"/>
      <c r="V29" s="55">
        <f t="shared" ref="V29:V34" si="23">N18</f>
        <v>5.3944799999999615</v>
      </c>
      <c r="W29" s="55">
        <f>N18/((1+$H$8)^A18)</f>
        <v>4.8499054890414142</v>
      </c>
      <c r="X29" s="55">
        <f>W29</f>
        <v>4.8499054890414142</v>
      </c>
      <c r="Y29" s="55">
        <f t="shared" ref="Y29:Y34" si="24">I18*$D$7</f>
        <v>1.6917127204502824</v>
      </c>
      <c r="Z29" s="32">
        <f>Y29/((1+$J$8)^A18)</f>
        <v>1.5209337709645909</v>
      </c>
      <c r="AA29" s="32">
        <f>Z29</f>
        <v>1.5209337709645909</v>
      </c>
      <c r="AC29" s="37"/>
      <c r="AD29" s="35"/>
    </row>
    <row r="30" spans="1:32" x14ac:dyDescent="0.25">
      <c r="A30" s="40">
        <v>2</v>
      </c>
      <c r="B30" s="18">
        <f t="shared" si="15"/>
        <v>2016</v>
      </c>
      <c r="C30" s="29">
        <f t="shared" si="16"/>
        <v>145.38683040000001</v>
      </c>
      <c r="D30" s="118">
        <f t="shared" si="17"/>
        <v>0.11915044541750992</v>
      </c>
      <c r="E30" s="118">
        <f t="shared" ref="E30:E34" si="25">$D$8</f>
        <v>0.11228559240773632</v>
      </c>
      <c r="F30" s="21">
        <f t="shared" si="12"/>
        <v>0.9980592202528844</v>
      </c>
      <c r="G30" s="119">
        <f>F30/((1+$D$8)^A30)</f>
        <v>0.80672160405538296</v>
      </c>
      <c r="H30" s="119">
        <f>H29+G30</f>
        <v>2.7121568364779867</v>
      </c>
      <c r="J30" s="45">
        <f t="shared" si="18"/>
        <v>5.6102591999999625</v>
      </c>
      <c r="K30" s="47">
        <f>J30/((1+$D$8)^A30)</f>
        <v>4.5347181902128808</v>
      </c>
      <c r="L30" s="47">
        <f>L29+K30</f>
        <v>9.384623679254295</v>
      </c>
      <c r="N30" s="52">
        <f t="shared" si="13"/>
        <v>5.6102591999999625</v>
      </c>
      <c r="O30" s="52">
        <f t="shared" ref="O30:O33" si="26">K30</f>
        <v>4.5347181902128808</v>
      </c>
      <c r="P30" s="52">
        <f t="shared" ref="P30:P33" si="27">L30</f>
        <v>9.384623679254295</v>
      </c>
      <c r="Q30" s="52"/>
      <c r="R30" s="126">
        <f t="shared" si="14"/>
        <v>5.6102591999999625</v>
      </c>
      <c r="S30" s="126">
        <f t="shared" si="21"/>
        <v>4.5347181902128808</v>
      </c>
      <c r="T30" s="126">
        <f t="shared" si="22"/>
        <v>9.384623679254295</v>
      </c>
      <c r="U30" s="27"/>
      <c r="V30" s="55">
        <f t="shared" si="23"/>
        <v>5.6102591999999625</v>
      </c>
      <c r="W30" s="55">
        <f>N19/((1+$H$8)^A19)</f>
        <v>4.5347181902128808</v>
      </c>
      <c r="X30" s="55">
        <f>X29+W30</f>
        <v>9.384623679254295</v>
      </c>
      <c r="Y30" s="55">
        <f t="shared" si="24"/>
        <v>1.9185571419466168</v>
      </c>
      <c r="Z30" s="32">
        <f>Y30/((1+$J$8)^A19)</f>
        <v>1.5507511614700829</v>
      </c>
      <c r="AA30" s="32">
        <f>AA29+Z30</f>
        <v>3.0716849324346738</v>
      </c>
      <c r="AC30" s="37"/>
      <c r="AD30" s="36"/>
    </row>
    <row r="31" spans="1:32" x14ac:dyDescent="0.25">
      <c r="A31" s="40">
        <v>3</v>
      </c>
      <c r="B31" s="18">
        <f t="shared" si="15"/>
        <v>2017</v>
      </c>
      <c r="C31" s="29">
        <f t="shared" si="16"/>
        <v>161.94370361600002</v>
      </c>
      <c r="D31" s="118">
        <f t="shared" si="17"/>
        <v>0.11124743612582166</v>
      </c>
      <c r="E31" s="118">
        <f t="shared" si="25"/>
        <v>0.11228559240773632</v>
      </c>
      <c r="F31" s="21">
        <f t="shared" si="12"/>
        <v>-0.16812287322547573</v>
      </c>
      <c r="G31" s="119">
        <f>F31/((1+$D$8)^A31)</f>
        <v>-0.12217373983051615</v>
      </c>
      <c r="H31" s="119">
        <f t="shared" ref="H31:H33" si="28">H30+G31</f>
        <v>2.5899830966474706</v>
      </c>
      <c r="J31" s="45">
        <f t="shared" si="18"/>
        <v>5.8346695679999447</v>
      </c>
      <c r="K31" s="47">
        <f>J31/((1+$D$8)^A31)</f>
        <v>4.2400143902004039</v>
      </c>
      <c r="L31" s="47">
        <f>L30+K31</f>
        <v>13.624638069454699</v>
      </c>
      <c r="N31" s="52">
        <f t="shared" si="13"/>
        <v>5.8346695679999447</v>
      </c>
      <c r="O31" s="52">
        <f t="shared" si="26"/>
        <v>4.2400143902004039</v>
      </c>
      <c r="P31" s="52">
        <f t="shared" si="27"/>
        <v>13.624638069454699</v>
      </c>
      <c r="Q31" s="52"/>
      <c r="R31" s="126">
        <f t="shared" si="14"/>
        <v>5.8346695679999447</v>
      </c>
      <c r="S31" s="126">
        <f t="shared" si="21"/>
        <v>4.2400143902004039</v>
      </c>
      <c r="T31" s="126">
        <f t="shared" si="22"/>
        <v>13.624638069454699</v>
      </c>
      <c r="U31" s="39"/>
      <c r="V31" s="55">
        <f t="shared" si="23"/>
        <v>5.8346695679999447</v>
      </c>
      <c r="W31" s="55">
        <f>N20/((1+$H$8)^A20)</f>
        <v>4.2400143902004039</v>
      </c>
      <c r="X31" s="55">
        <f>X30+W31</f>
        <v>13.624638069454699</v>
      </c>
      <c r="Y31" s="55">
        <f t="shared" si="24"/>
        <v>2.1544753403028043</v>
      </c>
      <c r="Z31" s="32">
        <f>Y31/((1+$J$8)^A20)</f>
        <v>1.5656424652248428</v>
      </c>
      <c r="AA31" s="32">
        <f t="shared" ref="AA31:AA33" si="29">AA30+Z31</f>
        <v>4.6373273976595168</v>
      </c>
    </row>
    <row r="32" spans="1:32" x14ac:dyDescent="0.25">
      <c r="A32" s="40">
        <v>4</v>
      </c>
      <c r="B32" s="18">
        <f t="shared" si="15"/>
        <v>2018</v>
      </c>
      <c r="C32" s="29">
        <f t="shared" si="16"/>
        <v>179.16285176064002</v>
      </c>
      <c r="D32" s="118">
        <f t="shared" si="17"/>
        <v>0.10457778782172827</v>
      </c>
      <c r="E32" s="118">
        <f t="shared" si="25"/>
        <v>0.11228559240773632</v>
      </c>
      <c r="F32" s="21">
        <f t="shared" si="12"/>
        <v>-1.380952250442941</v>
      </c>
      <c r="G32" s="119">
        <f>F32/((1+$D$8)^A32)</f>
        <v>-0.90222200450198964</v>
      </c>
      <c r="H32" s="119">
        <f t="shared" si="28"/>
        <v>1.6877610921454811</v>
      </c>
      <c r="J32" s="45">
        <f t="shared" si="18"/>
        <v>6.0680563507199539</v>
      </c>
      <c r="K32" s="47">
        <f>J32/((1+$D$8)^A32)</f>
        <v>3.9644629004526131</v>
      </c>
      <c r="L32" s="47">
        <f>L31+K32</f>
        <v>17.589100969907314</v>
      </c>
      <c r="N32" s="52">
        <f t="shared" si="13"/>
        <v>6.0680563507199539</v>
      </c>
      <c r="O32" s="52">
        <f t="shared" si="26"/>
        <v>3.9644629004526131</v>
      </c>
      <c r="P32" s="52">
        <f t="shared" si="27"/>
        <v>17.589100969907314</v>
      </c>
      <c r="Q32" s="52"/>
      <c r="R32" s="126">
        <f t="shared" si="14"/>
        <v>6.0680563507199539</v>
      </c>
      <c r="S32" s="126">
        <f t="shared" si="21"/>
        <v>3.9644629004526131</v>
      </c>
      <c r="T32" s="126">
        <f t="shared" si="22"/>
        <v>17.589100969907314</v>
      </c>
      <c r="V32" s="55">
        <f t="shared" si="23"/>
        <v>6.0680563507199539</v>
      </c>
      <c r="W32" s="55">
        <f>N21/((1+$H$8)^A21)</f>
        <v>3.9644629004526131</v>
      </c>
      <c r="X32" s="55">
        <f>X31+W32</f>
        <v>17.589100969907314</v>
      </c>
      <c r="Y32" s="55">
        <f t="shared" si="24"/>
        <v>2.3998302665932396</v>
      </c>
      <c r="Z32" s="32">
        <f>Y32/((1+$J$8)^A21)</f>
        <v>1.567888877327811</v>
      </c>
      <c r="AA32" s="32">
        <f t="shared" si="29"/>
        <v>6.2052162749873281</v>
      </c>
    </row>
    <row r="33" spans="1:27" x14ac:dyDescent="0.25">
      <c r="A33" s="40">
        <v>5</v>
      </c>
      <c r="B33" s="18">
        <f t="shared" si="15"/>
        <v>2019</v>
      </c>
      <c r="C33" s="29">
        <f t="shared" si="16"/>
        <v>197.07076583106564</v>
      </c>
      <c r="D33" s="118">
        <f t="shared" si="17"/>
        <v>9.8877744766781864E-2</v>
      </c>
      <c r="E33" s="118">
        <f t="shared" si="25"/>
        <v>0.11228559240773632</v>
      </c>
      <c r="F33" s="21">
        <f t="shared" si="12"/>
        <v>-2.6422948027491415</v>
      </c>
      <c r="G33" s="119">
        <f>F33/((1+$D$8)^A33)</f>
        <v>-1.5520285702494807</v>
      </c>
      <c r="H33" s="119">
        <f t="shared" si="28"/>
        <v>0.13573252189600038</v>
      </c>
      <c r="J33" s="45">
        <f t="shared" si="18"/>
        <v>6.3107786047487338</v>
      </c>
      <c r="K33" s="47">
        <f>J33/((1+$D$8)^A33)</f>
        <v>3.7068190441500395</v>
      </c>
      <c r="L33" s="47">
        <f>L32+K33</f>
        <v>21.295920014057351</v>
      </c>
      <c r="N33" s="52">
        <f t="shared" si="13"/>
        <v>6.3107786047487338</v>
      </c>
      <c r="O33" s="52">
        <f t="shared" si="26"/>
        <v>3.7068190441500395</v>
      </c>
      <c r="P33" s="52">
        <f t="shared" si="27"/>
        <v>21.295920014057351</v>
      </c>
      <c r="Q33" s="52"/>
      <c r="R33" s="126">
        <f t="shared" si="14"/>
        <v>6.3107786047487338</v>
      </c>
      <c r="S33" s="126">
        <f t="shared" si="21"/>
        <v>3.7068190441500395</v>
      </c>
      <c r="T33" s="126">
        <f t="shared" si="22"/>
        <v>21.295920014057351</v>
      </c>
      <c r="V33" s="55">
        <f t="shared" si="23"/>
        <v>6.3107786047487338</v>
      </c>
      <c r="W33" s="55">
        <f>N22/((1+$H$8)^A22)</f>
        <v>3.7068190441500395</v>
      </c>
      <c r="X33" s="55">
        <f>X32+W33</f>
        <v>21.295920014057351</v>
      </c>
      <c r="Y33" s="55">
        <f t="shared" si="24"/>
        <v>2.6549993899352917</v>
      </c>
      <c r="Z33" s="32">
        <f>Y33/((1+$J$8)^A22)</f>
        <v>1.5594909784053061</v>
      </c>
      <c r="AA33" s="32">
        <f t="shared" si="29"/>
        <v>7.7647072533926345</v>
      </c>
    </row>
    <row r="34" spans="1:27" ht="18" x14ac:dyDescent="0.35">
      <c r="A34" s="107" t="s">
        <v>187</v>
      </c>
      <c r="B34" s="18">
        <f t="shared" si="15"/>
        <v>2020</v>
      </c>
      <c r="C34" s="29">
        <f t="shared" si="16"/>
        <v>215.69499646430828</v>
      </c>
      <c r="D34" s="118">
        <f t="shared" si="17"/>
        <v>9.3953729722169366E-2</v>
      </c>
      <c r="E34" s="118">
        <f t="shared" si="25"/>
        <v>0.11228559240773632</v>
      </c>
      <c r="F34" s="21">
        <f t="shared" si="12"/>
        <v>-3.9540910571475489</v>
      </c>
      <c r="G34" s="19"/>
      <c r="J34" s="45">
        <f t="shared" si="18"/>
        <v>6.5632097489387018</v>
      </c>
      <c r="K34" s="46"/>
      <c r="L34" s="46"/>
      <c r="N34" s="52">
        <f t="shared" si="13"/>
        <v>6.5632097489387018</v>
      </c>
      <c r="O34" s="52"/>
      <c r="P34" s="52"/>
      <c r="Q34" s="52"/>
      <c r="R34" s="126">
        <f t="shared" si="14"/>
        <v>6.5632097489387018</v>
      </c>
      <c r="S34" s="126"/>
      <c r="T34" s="126"/>
      <c r="V34" s="55">
        <f t="shared" si="23"/>
        <v>6.5632097489387018</v>
      </c>
      <c r="W34" s="32"/>
      <c r="X34" s="32"/>
      <c r="Y34" s="55">
        <f t="shared" si="24"/>
        <v>2.920375278211027</v>
      </c>
      <c r="Z34" s="32"/>
      <c r="AA34" s="32"/>
    </row>
    <row r="35" spans="1:27" x14ac:dyDescent="0.25">
      <c r="B35" s="18"/>
      <c r="C35" s="29"/>
      <c r="D35" s="21"/>
      <c r="E35" s="21"/>
      <c r="F35" s="21"/>
      <c r="G35" s="19"/>
      <c r="J35" s="45"/>
      <c r="K35" s="46"/>
      <c r="L35" s="46"/>
      <c r="N35" s="52"/>
      <c r="O35" s="52"/>
      <c r="P35" s="52"/>
      <c r="Q35" s="52"/>
      <c r="R35" s="126"/>
      <c r="S35" s="126"/>
      <c r="T35" s="126"/>
      <c r="V35" s="55"/>
      <c r="W35" s="32"/>
      <c r="X35" s="32"/>
      <c r="Y35" s="55"/>
      <c r="Z35" s="32"/>
      <c r="AA35" s="32"/>
    </row>
    <row r="36" spans="1:27" ht="18" x14ac:dyDescent="0.25">
      <c r="B36" s="18"/>
      <c r="C36" s="17"/>
      <c r="D36" s="21"/>
      <c r="E36" s="21"/>
      <c r="F36" s="18"/>
      <c r="G36" s="18"/>
      <c r="J36" s="46"/>
      <c r="K36" s="46"/>
      <c r="L36" s="46"/>
      <c r="R36" s="125"/>
      <c r="S36" s="125"/>
      <c r="T36" s="125"/>
      <c r="V36" s="33"/>
      <c r="W36" s="34"/>
      <c r="X36" s="114" t="s">
        <v>31</v>
      </c>
      <c r="Y36" s="114"/>
      <c r="Z36" s="114"/>
      <c r="AA36" s="114" t="s">
        <v>32</v>
      </c>
    </row>
    <row r="37" spans="1:27" ht="18" x14ac:dyDescent="0.35">
      <c r="B37" s="18"/>
      <c r="C37" s="17"/>
      <c r="D37" s="21"/>
      <c r="E37" s="21"/>
      <c r="G37" s="38" t="s">
        <v>64</v>
      </c>
      <c r="H37" s="50">
        <f>C28</f>
        <v>114.15900000000001</v>
      </c>
      <c r="J37" s="46"/>
      <c r="K37" s="51" t="s">
        <v>47</v>
      </c>
      <c r="L37" s="47">
        <f>L33</f>
        <v>21.295920014057351</v>
      </c>
      <c r="O37" s="40" t="s">
        <v>34</v>
      </c>
      <c r="P37" s="26">
        <f>L37</f>
        <v>21.295920014057351</v>
      </c>
      <c r="Q37" s="26"/>
      <c r="R37" s="127"/>
      <c r="S37" s="128" t="s">
        <v>193</v>
      </c>
      <c r="T37" s="127">
        <f>L37</f>
        <v>21.295920014057351</v>
      </c>
      <c r="V37" s="34"/>
      <c r="W37" s="37" t="s">
        <v>60</v>
      </c>
      <c r="X37" s="32">
        <f>X33</f>
        <v>21.295920014057351</v>
      </c>
      <c r="Y37" s="32"/>
      <c r="Z37" s="37" t="s">
        <v>182</v>
      </c>
      <c r="AA37" s="32">
        <f>AA33</f>
        <v>7.7647072533926345</v>
      </c>
    </row>
    <row r="38" spans="1:27" ht="18" x14ac:dyDescent="0.35">
      <c r="G38" s="38" t="s">
        <v>35</v>
      </c>
      <c r="H38" s="50">
        <f>H33</f>
        <v>0.13573252189600038</v>
      </c>
      <c r="J38" s="46"/>
      <c r="K38" s="51" t="s">
        <v>52</v>
      </c>
      <c r="L38" s="47">
        <f>(J34)/(D8-D5)</f>
        <v>90.795544870381079</v>
      </c>
      <c r="O38" s="42" t="s">
        <v>39</v>
      </c>
      <c r="P38" s="26">
        <f>N23/(D8-D5)</f>
        <v>90.795544870381079</v>
      </c>
      <c r="Q38" s="26"/>
      <c r="R38" s="127"/>
      <c r="S38" s="129" t="s">
        <v>39</v>
      </c>
      <c r="T38" s="127">
        <f>(K23*(1-(D5/O23)))/(D8-D5)</f>
        <v>160.99403980832651</v>
      </c>
      <c r="V38" s="113"/>
      <c r="W38" s="37" t="s">
        <v>179</v>
      </c>
      <c r="X38" s="32">
        <f>(V34)/(H8-D5)</f>
        <v>90.795544870381079</v>
      </c>
      <c r="Y38" s="32"/>
      <c r="Z38" s="37" t="s">
        <v>183</v>
      </c>
      <c r="AA38" s="32">
        <f>(Y34)/(J8-D5)</f>
        <v>40.400516630454774</v>
      </c>
    </row>
    <row r="39" spans="1:27" ht="18" x14ac:dyDescent="0.35">
      <c r="G39" s="38" t="s">
        <v>49</v>
      </c>
      <c r="H39" s="50">
        <f>(C33*(D34-D8))/(D8-D5)</f>
        <v>-49.977790846298312</v>
      </c>
      <c r="J39" s="46"/>
      <c r="K39" s="51" t="s">
        <v>53</v>
      </c>
      <c r="L39" s="47">
        <f>L38/((1+D8)^A33)</f>
        <v>53.33139948789384</v>
      </c>
      <c r="O39" s="40" t="s">
        <v>41</v>
      </c>
      <c r="P39" s="26">
        <f>P38/((1+D8)^A22)</f>
        <v>53.33139948789384</v>
      </c>
      <c r="Q39" s="26"/>
      <c r="R39" s="127"/>
      <c r="S39" s="128" t="s">
        <v>194</v>
      </c>
      <c r="T39" s="127">
        <f>T38/((1+D8)^A22)</f>
        <v>94.564523671784727</v>
      </c>
      <c r="W39" s="37" t="s">
        <v>180</v>
      </c>
      <c r="X39" s="32">
        <f>X38/((1+H8)^A22)</f>
        <v>53.33139948789384</v>
      </c>
      <c r="Y39" s="32"/>
      <c r="Z39" s="37" t="s">
        <v>184</v>
      </c>
      <c r="AA39" s="32">
        <f>AA38/((1+J8)^A22)</f>
        <v>23.730416453934971</v>
      </c>
    </row>
    <row r="40" spans="1:27" ht="18" x14ac:dyDescent="0.35">
      <c r="C40" s="1"/>
      <c r="D40" s="5"/>
      <c r="E40" s="5"/>
      <c r="G40" s="38" t="s">
        <v>50</v>
      </c>
      <c r="H40" s="50">
        <f>H39/((1+E34)^A33)</f>
        <v>-29.355906536509252</v>
      </c>
      <c r="J40" s="48"/>
      <c r="K40" s="51" t="s">
        <v>54</v>
      </c>
      <c r="L40" s="47">
        <f>L37+L39</f>
        <v>74.627319501951192</v>
      </c>
      <c r="O40" s="40" t="s">
        <v>40</v>
      </c>
      <c r="P40" s="26">
        <f>P39+P37</f>
        <v>74.627319501951192</v>
      </c>
      <c r="Q40" s="26"/>
      <c r="R40" s="127"/>
      <c r="S40" s="128" t="s">
        <v>40</v>
      </c>
      <c r="T40" s="127">
        <f>T39+T37</f>
        <v>115.86044368584209</v>
      </c>
      <c r="W40" s="37" t="s">
        <v>181</v>
      </c>
      <c r="X40" s="32">
        <f>X37+X39</f>
        <v>74.627319501951192</v>
      </c>
      <c r="Y40" s="32"/>
      <c r="Z40" s="37" t="s">
        <v>185</v>
      </c>
      <c r="AA40" s="32">
        <f>AA37+AA39</f>
        <v>31.495123707327608</v>
      </c>
    </row>
    <row r="41" spans="1:27" ht="18" x14ac:dyDescent="0.35">
      <c r="G41" s="38" t="s">
        <v>51</v>
      </c>
      <c r="H41" s="50">
        <f>H38+H40+H37</f>
        <v>84.938825985386757</v>
      </c>
      <c r="W41" s="132" t="s">
        <v>186</v>
      </c>
      <c r="X41" s="55">
        <f>X40+AA40</f>
        <v>106.1224432092788</v>
      </c>
    </row>
    <row r="44" spans="1:27" x14ac:dyDescent="0.25">
      <c r="W44" s="43"/>
    </row>
    <row r="45" spans="1:27" x14ac:dyDescent="0.25">
      <c r="H45" s="26"/>
    </row>
    <row r="46" spans="1:27" x14ac:dyDescent="0.25">
      <c r="H46" s="26"/>
    </row>
    <row r="47" spans="1:27" x14ac:dyDescent="0.25">
      <c r="H47" s="26"/>
    </row>
  </sheetData>
  <mergeCells count="16">
    <mergeCell ref="A1:AD1"/>
    <mergeCell ref="A2:AD2"/>
    <mergeCell ref="A9:C9"/>
    <mergeCell ref="F11:H11"/>
    <mergeCell ref="F5:H5"/>
    <mergeCell ref="A8:C8"/>
    <mergeCell ref="B26:H26"/>
    <mergeCell ref="J26:L26"/>
    <mergeCell ref="AB18:AB23"/>
    <mergeCell ref="A5:C5"/>
    <mergeCell ref="A7:C7"/>
    <mergeCell ref="A11:C11"/>
    <mergeCell ref="A6:C6"/>
    <mergeCell ref="V26:AA26"/>
    <mergeCell ref="N26:P26"/>
    <mergeCell ref="R26:T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80" zoomScaleNormal="80" workbookViewId="0">
      <selection activeCell="W16" sqref="W16"/>
    </sheetView>
  </sheetViews>
  <sheetFormatPr defaultRowHeight="15" x14ac:dyDescent="0.25"/>
  <cols>
    <col min="5" max="5" width="11.5703125" bestFit="1" customWidth="1"/>
    <col min="6" max="8" width="10.7109375" customWidth="1"/>
    <col min="9" max="9" width="8.7109375" customWidth="1"/>
    <col min="10" max="10" width="10.5703125" bestFit="1" customWidth="1"/>
    <col min="11" max="11" width="10.5703125" customWidth="1"/>
    <col min="14" max="16" width="9.5703125" bestFit="1" customWidth="1"/>
    <col min="17" max="20" width="9.5703125" customWidth="1"/>
    <col min="21" max="21" width="9.5703125" bestFit="1" customWidth="1"/>
    <col min="22" max="27" width="12.7109375" customWidth="1"/>
    <col min="28" max="28" width="4.7109375" customWidth="1"/>
    <col min="29" max="30" width="10.5703125" customWidth="1"/>
  </cols>
  <sheetData>
    <row r="1" spans="1:30" x14ac:dyDescent="0.25">
      <c r="A1" s="139" t="s">
        <v>176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30" x14ac:dyDescent="0.25">
      <c r="A2" s="139" t="s">
        <v>36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row>
    <row r="3" spans="1:30" x14ac:dyDescent="0.2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x14ac:dyDescent="0.25">
      <c r="I4" s="130">
        <v>2013</v>
      </c>
      <c r="J4" s="130">
        <v>2014</v>
      </c>
    </row>
    <row r="5" spans="1:30" ht="18" x14ac:dyDescent="0.35">
      <c r="A5" s="163" t="s">
        <v>198</v>
      </c>
      <c r="B5" s="162"/>
      <c r="C5" s="162"/>
      <c r="D5" s="95">
        <v>0.04</v>
      </c>
      <c r="F5" s="162" t="s">
        <v>206</v>
      </c>
      <c r="G5" s="162"/>
      <c r="H5" s="162"/>
      <c r="I5">
        <f>'Fin Stmt'!J15</f>
        <v>26.65</v>
      </c>
      <c r="J5">
        <f>'Fin Stmt'!K15</f>
        <v>29.544</v>
      </c>
      <c r="M5" s="109" t="s">
        <v>18</v>
      </c>
      <c r="N5" s="109" t="s">
        <v>19</v>
      </c>
      <c r="O5" s="109" t="s">
        <v>20</v>
      </c>
      <c r="P5" s="109" t="s">
        <v>21</v>
      </c>
      <c r="Q5" s="109"/>
      <c r="R5" s="108"/>
      <c r="S5" s="109" t="s">
        <v>15</v>
      </c>
      <c r="T5" s="109"/>
      <c r="X5" s="109"/>
      <c r="Y5" s="109"/>
      <c r="Z5" s="109"/>
      <c r="AA5" s="109"/>
    </row>
    <row r="6" spans="1:30" x14ac:dyDescent="0.25">
      <c r="A6" s="163" t="s">
        <v>199</v>
      </c>
      <c r="B6" s="162"/>
      <c r="C6" s="162"/>
      <c r="D6" s="95">
        <f>(Y34-Y33)/Y33</f>
        <v>9.9953276555066597E-2</v>
      </c>
      <c r="M6" s="108">
        <f>J5</f>
        <v>29.544</v>
      </c>
      <c r="N6" s="108">
        <f>'Fin Stmt'!K33</f>
        <v>73.802500000000009</v>
      </c>
      <c r="O6" s="108">
        <f>'Fin Stmt'!K19</f>
        <v>0.09</v>
      </c>
      <c r="P6" s="108">
        <f>SUM(M6:O6)</f>
        <v>103.43650000000001</v>
      </c>
      <c r="Q6" s="108"/>
      <c r="R6" s="108"/>
      <c r="S6" s="117">
        <f>((M8*M10)*(1-D7))+(N8*N10)+(O8*P10)</f>
        <v>0.13131957331427446</v>
      </c>
      <c r="T6" s="16"/>
      <c r="X6" s="16"/>
      <c r="Y6" s="16"/>
      <c r="Z6" s="16"/>
      <c r="AA6" s="16"/>
    </row>
    <row r="7" spans="1:30" ht="18" x14ac:dyDescent="0.35">
      <c r="A7" s="162" t="s">
        <v>9</v>
      </c>
      <c r="B7" s="162"/>
      <c r="C7" s="162"/>
      <c r="D7" s="95">
        <f>'Fin Stmt'!P37</f>
        <v>0.3500000000000002</v>
      </c>
      <c r="G7" s="130" t="s">
        <v>200</v>
      </c>
      <c r="M7" s="109" t="s">
        <v>22</v>
      </c>
      <c r="N7" s="109" t="s">
        <v>23</v>
      </c>
      <c r="O7" s="109" t="s">
        <v>24</v>
      </c>
      <c r="P7" s="108"/>
      <c r="Q7" s="108"/>
      <c r="R7" s="108"/>
      <c r="S7" s="108"/>
      <c r="T7" s="108"/>
      <c r="X7" s="108"/>
      <c r="Y7" s="108"/>
      <c r="Z7" s="108"/>
      <c r="AA7" s="108"/>
    </row>
    <row r="8" spans="1:30" ht="18" x14ac:dyDescent="0.35">
      <c r="A8" s="162" t="s">
        <v>17</v>
      </c>
      <c r="B8" s="162"/>
      <c r="C8" s="162"/>
      <c r="D8" s="116">
        <f>S6</f>
        <v>0.13131957331427446</v>
      </c>
      <c r="E8" s="8"/>
      <c r="F8" s="8"/>
      <c r="G8" s="110" t="s">
        <v>43</v>
      </c>
      <c r="H8" s="95">
        <f>D8</f>
        <v>0.13131957331427446</v>
      </c>
      <c r="I8" s="110" t="s">
        <v>44</v>
      </c>
      <c r="J8" s="95">
        <f>H8</f>
        <v>0.13131957331427446</v>
      </c>
      <c r="M8" s="108">
        <f>M6/$P$6</f>
        <v>0.2856245135904637</v>
      </c>
      <c r="N8" s="108">
        <f>N6/$P$6</f>
        <v>0.71350538736326152</v>
      </c>
      <c r="O8" s="108">
        <f>O6/$P$6</f>
        <v>8.7009904627476748E-4</v>
      </c>
      <c r="P8" s="108"/>
      <c r="Q8" s="108"/>
      <c r="R8" s="108"/>
      <c r="S8" s="108"/>
      <c r="T8" s="108"/>
      <c r="X8" s="108"/>
      <c r="Y8" s="108"/>
      <c r="Z8" s="108"/>
      <c r="AA8" s="108"/>
    </row>
    <row r="9" spans="1:30" ht="31.5" x14ac:dyDescent="0.35">
      <c r="A9" s="161"/>
      <c r="B9" s="161"/>
      <c r="C9" s="161"/>
      <c r="D9" s="95"/>
      <c r="G9" s="110" t="s">
        <v>42</v>
      </c>
      <c r="H9" s="5"/>
      <c r="M9" s="109" t="s">
        <v>26</v>
      </c>
      <c r="N9" s="109" t="s">
        <v>27</v>
      </c>
      <c r="O9" s="9" t="s">
        <v>63</v>
      </c>
      <c r="P9" s="109" t="s">
        <v>28</v>
      </c>
      <c r="Q9" s="109"/>
      <c r="R9" s="109" t="s">
        <v>25</v>
      </c>
      <c r="S9" s="109" t="s">
        <v>29</v>
      </c>
      <c r="T9" s="109" t="s">
        <v>30</v>
      </c>
      <c r="X9" s="109"/>
      <c r="Y9" s="109"/>
      <c r="Z9" s="109"/>
      <c r="AA9" s="109"/>
    </row>
    <row r="10" spans="1:30" x14ac:dyDescent="0.25">
      <c r="A10" s="110"/>
      <c r="B10" s="110"/>
      <c r="C10" s="110"/>
      <c r="M10" s="117">
        <f>I14/I5</f>
        <v>0.16360225140712947</v>
      </c>
      <c r="N10" s="117">
        <f>S10+(T10-S10)*R10</f>
        <v>0.14113999999999999</v>
      </c>
      <c r="O10">
        <f>'Fin Stmt'!P33</f>
        <v>2.5000000000000001E-2</v>
      </c>
      <c r="P10" s="117">
        <f>O10/O6</f>
        <v>0.27777777777777779</v>
      </c>
      <c r="Q10" s="117"/>
      <c r="R10" s="16">
        <f>'Fin Stmt'!K59</f>
        <v>0.96</v>
      </c>
      <c r="S10" s="117">
        <f>'Fin Stmt'!K58</f>
        <v>2.4500000000000001E-2</v>
      </c>
      <c r="T10" s="117">
        <f>'Fin Stmt'!K57</f>
        <v>0.14599999999999999</v>
      </c>
      <c r="X10" s="16"/>
      <c r="Y10" s="16"/>
      <c r="Z10" s="16"/>
      <c r="AA10" s="16"/>
    </row>
    <row r="11" spans="1:30" ht="30" customHeight="1" x14ac:dyDescent="0.25">
      <c r="A11" s="164" t="s">
        <v>10</v>
      </c>
      <c r="B11" s="164"/>
      <c r="C11" s="164"/>
      <c r="D11" s="5">
        <f>C14/(J14-C14)</f>
        <v>0.3491579507179578</v>
      </c>
      <c r="F11" s="164" t="s">
        <v>11</v>
      </c>
      <c r="G11" s="164"/>
      <c r="H11" s="164"/>
      <c r="I11" s="5">
        <f>D14/L14</f>
        <v>35.079792256846041</v>
      </c>
      <c r="J11" s="5"/>
    </row>
    <row r="12" spans="1:30" x14ac:dyDescent="0.25">
      <c r="G12" s="130"/>
    </row>
    <row r="13" spans="1:30" ht="30" x14ac:dyDescent="0.25">
      <c r="B13" s="9" t="s">
        <v>0</v>
      </c>
      <c r="C13" s="9" t="s">
        <v>6</v>
      </c>
      <c r="D13" s="9" t="s">
        <v>1</v>
      </c>
      <c r="E13" s="9" t="s">
        <v>16</v>
      </c>
      <c r="F13" s="9" t="s">
        <v>2</v>
      </c>
      <c r="G13" s="9" t="s">
        <v>55</v>
      </c>
      <c r="H13" s="9" t="s">
        <v>38</v>
      </c>
      <c r="I13" s="9" t="s">
        <v>3</v>
      </c>
      <c r="J13" s="9" t="s">
        <v>12</v>
      </c>
      <c r="K13" s="9" t="s">
        <v>8</v>
      </c>
      <c r="L13" s="28" t="s">
        <v>14</v>
      </c>
      <c r="M13" s="10" t="s">
        <v>62</v>
      </c>
      <c r="N13" s="9" t="s">
        <v>13</v>
      </c>
      <c r="O13" s="9" t="s">
        <v>7</v>
      </c>
      <c r="P13" s="9"/>
      <c r="Q13" s="9"/>
      <c r="R13" s="9"/>
      <c r="S13" s="9"/>
      <c r="T13" s="9"/>
      <c r="U13" s="9"/>
      <c r="AB13" s="12"/>
    </row>
    <row r="14" spans="1:30" x14ac:dyDescent="0.25">
      <c r="B14" s="3">
        <v>2014</v>
      </c>
      <c r="C14" s="3">
        <f>'Fin Stmt'!K15</f>
        <v>29.544</v>
      </c>
      <c r="D14" s="13">
        <f>'Fin Stmt'!P12</f>
        <v>297.19599999999997</v>
      </c>
      <c r="E14" s="13">
        <f>'Fin Stmt'!P15</f>
        <v>211.46</v>
      </c>
      <c r="F14" s="13">
        <f>'Fin Stmt'!P16+'Fin Stmt'!P17</f>
        <v>57.206000000000003</v>
      </c>
      <c r="G14" s="13">
        <f>'Fin Stmt'!P18</f>
        <v>3.89</v>
      </c>
      <c r="H14" s="23">
        <f>'Fin Stmt'!P12-'Fin Stmt'!P19</f>
        <v>24.639999999999986</v>
      </c>
      <c r="I14" s="13">
        <f>'Fin Stmt'!P24</f>
        <v>4.3600000000000003</v>
      </c>
      <c r="J14" s="3">
        <f>'Fin Stmt'!K63</f>
        <v>114.15900000000001</v>
      </c>
      <c r="K14" s="3">
        <f>(D14-E14-F14-G14)*(1-$D$7)</f>
        <v>16.015999999999966</v>
      </c>
      <c r="L14" s="3">
        <f>('Fin Stmt'!E11-'Fin Stmt'!K10)-('Fin Stmt'!D11-'Fin Stmt'!J10)</f>
        <v>8.4720000000000084</v>
      </c>
      <c r="M14" s="13">
        <f>'Fin Stmt'!E17-'Fin Stmt'!D17+'Fin Stmt'!P18</f>
        <v>6.2469999999999999</v>
      </c>
      <c r="N14" s="13">
        <f>K14+G14-L14-M14</f>
        <v>5.1869999999999585</v>
      </c>
      <c r="O14" s="121">
        <f>K14/J14</f>
        <v>0.14029555269404922</v>
      </c>
      <c r="P14" s="23"/>
      <c r="Q14" s="23"/>
      <c r="R14" s="23"/>
      <c r="S14" s="23"/>
      <c r="T14" s="23"/>
      <c r="AB14" s="24"/>
      <c r="AC14" s="30"/>
      <c r="AD14" s="30"/>
    </row>
    <row r="15" spans="1:30" x14ac:dyDescent="0.25">
      <c r="B15" s="12"/>
      <c r="C15" s="12"/>
      <c r="D15" s="12"/>
      <c r="E15" s="12"/>
      <c r="F15" s="12"/>
      <c r="G15" s="12"/>
      <c r="H15" s="108"/>
      <c r="I15" s="12"/>
      <c r="J15" s="12"/>
      <c r="K15" s="12"/>
      <c r="L15" s="12"/>
      <c r="M15" s="12"/>
      <c r="N15" s="12"/>
      <c r="O15" s="120"/>
      <c r="P15" s="108"/>
      <c r="Q15" s="108"/>
      <c r="R15" s="108"/>
      <c r="S15" s="108"/>
      <c r="T15" s="108"/>
      <c r="AB15" s="108"/>
      <c r="AC15" s="31"/>
      <c r="AD15" s="31"/>
    </row>
    <row r="16" spans="1:30" x14ac:dyDescent="0.25">
      <c r="B16" s="130" t="s">
        <v>4</v>
      </c>
      <c r="C16" s="131"/>
      <c r="D16" s="120">
        <v>8.5999999999999993E-2</v>
      </c>
      <c r="E16" s="120">
        <f>E14/$D$14</f>
        <v>0.71151697869419517</v>
      </c>
      <c r="F16" s="120">
        <f>F14/$D$14</f>
        <v>0.19248576696859987</v>
      </c>
      <c r="G16" s="120">
        <f>G14/$D$14</f>
        <v>1.3089005235602096E-2</v>
      </c>
      <c r="H16" s="117"/>
      <c r="I16" s="120">
        <f>I14/$I$5</f>
        <v>0.16360225140712947</v>
      </c>
      <c r="J16" s="7"/>
      <c r="K16" s="7"/>
      <c r="L16" s="12"/>
      <c r="M16" s="12"/>
      <c r="N16" s="12"/>
      <c r="O16" s="120"/>
      <c r="P16" s="108"/>
      <c r="Q16" s="108"/>
      <c r="R16" s="108"/>
      <c r="S16" s="108"/>
      <c r="T16" s="108"/>
      <c r="AB16" s="108"/>
      <c r="AC16" s="31"/>
      <c r="AD16" s="31"/>
    </row>
    <row r="17" spans="1:32" x14ac:dyDescent="0.25">
      <c r="H17" s="108"/>
      <c r="O17" s="95"/>
      <c r="P17" s="108"/>
      <c r="Q17" s="108"/>
      <c r="R17" s="108"/>
      <c r="S17" s="108"/>
      <c r="T17" s="108"/>
      <c r="AB17" s="108"/>
      <c r="AC17" s="31"/>
      <c r="AD17" s="31"/>
    </row>
    <row r="18" spans="1:32" x14ac:dyDescent="0.25">
      <c r="A18" s="40">
        <v>1</v>
      </c>
      <c r="B18" s="3">
        <f>B14+1</f>
        <v>2015</v>
      </c>
      <c r="C18" s="13">
        <f>($D$11*J14/(1+$D$11))</f>
        <v>29.543999999999997</v>
      </c>
      <c r="D18" s="13">
        <f>D14*(1+$D$5)</f>
        <v>309.08383999999995</v>
      </c>
      <c r="E18" s="13">
        <f t="shared" ref="E18:G23" si="0">E$16*$D18</f>
        <v>219.91839999999999</v>
      </c>
      <c r="F18" s="13">
        <f t="shared" si="0"/>
        <v>59.494239999999998</v>
      </c>
      <c r="G18" s="13">
        <f t="shared" si="0"/>
        <v>4.0456000000000003</v>
      </c>
      <c r="H18" s="23">
        <f>D18-E18-F18-G18</f>
        <v>25.625599999999963</v>
      </c>
      <c r="I18" s="13">
        <f t="shared" ref="I18:I23" si="1">I$16*C18</f>
        <v>4.8334649155722325</v>
      </c>
      <c r="J18" s="13">
        <f>J14+L18+M18</f>
        <v>129.46676000000002</v>
      </c>
      <c r="K18" s="13">
        <f t="shared" ref="K18:K23" si="2">(D18-E18-F18-G18)*(1-$D$7)</f>
        <v>16.656639999999971</v>
      </c>
      <c r="L18" s="13">
        <f>L14*(1+$D$5)</f>
        <v>8.8108800000000098</v>
      </c>
      <c r="M18" s="13">
        <f>M14*(1+$D$5)</f>
        <v>6.49688</v>
      </c>
      <c r="N18" s="13">
        <f>K18+G18-L18-M18</f>
        <v>5.3944799999999615</v>
      </c>
      <c r="O18" s="121">
        <f t="shared" ref="O18:O23" si="3">K18/J18</f>
        <v>0.12865572599484199</v>
      </c>
      <c r="P18" s="16"/>
      <c r="Q18" s="16"/>
      <c r="R18" s="16"/>
      <c r="S18" s="16"/>
      <c r="T18" s="16"/>
      <c r="U18" s="5"/>
      <c r="AB18" s="154"/>
      <c r="AD18" s="52"/>
      <c r="AF18" s="52"/>
    </row>
    <row r="19" spans="1:32" x14ac:dyDescent="0.25">
      <c r="A19" s="40">
        <f>A18+1</f>
        <v>2</v>
      </c>
      <c r="B19" s="3">
        <f t="shared" ref="B19:B23" si="4">B18+1</f>
        <v>2016</v>
      </c>
      <c r="C19" s="13">
        <f>($D$11*J18/(1+$D$11))</f>
        <v>33.505601463222348</v>
      </c>
      <c r="D19" s="13">
        <f t="shared" ref="D19:D23" si="5">D18*(1+$D$5)</f>
        <v>321.44719359999993</v>
      </c>
      <c r="E19" s="13">
        <f t="shared" si="0"/>
        <v>228.71513599999997</v>
      </c>
      <c r="F19" s="13">
        <f t="shared" si="0"/>
        <v>61.874009599999994</v>
      </c>
      <c r="G19" s="13">
        <f t="shared" si="0"/>
        <v>4.2074239999999996</v>
      </c>
      <c r="H19" s="23">
        <f t="shared" ref="H19:H23" si="6">D19-E19-F19-G19</f>
        <v>26.650623999999969</v>
      </c>
      <c r="I19" s="13">
        <f>I$16*C19</f>
        <v>5.4815918341331873</v>
      </c>
      <c r="J19" s="13">
        <f>J18+L19+M19</f>
        <v>145.38683040000001</v>
      </c>
      <c r="K19" s="13">
        <f t="shared" si="2"/>
        <v>17.322905599999974</v>
      </c>
      <c r="L19" s="13">
        <f>L18*(1+$D$5)</f>
        <v>9.1633152000000102</v>
      </c>
      <c r="M19" s="13">
        <f>M18*(1+$D$5)</f>
        <v>6.7567552000000006</v>
      </c>
      <c r="N19" s="13">
        <f t="shared" ref="N19:N23" si="7">K19+G19-L19-M19</f>
        <v>5.6102591999999625</v>
      </c>
      <c r="O19" s="121">
        <f t="shared" si="3"/>
        <v>0.11915044541750992</v>
      </c>
      <c r="P19" s="16"/>
      <c r="Q19" s="16"/>
      <c r="R19" s="16"/>
      <c r="S19" s="16"/>
      <c r="T19" s="16"/>
      <c r="U19" s="5"/>
      <c r="AB19" s="154"/>
      <c r="AD19" s="52"/>
      <c r="AF19" s="52"/>
    </row>
    <row r="20" spans="1:32" x14ac:dyDescent="0.25">
      <c r="A20" s="40">
        <f t="shared" ref="A20:A22" si="8">A19+1</f>
        <v>3</v>
      </c>
      <c r="B20" s="3">
        <f t="shared" si="4"/>
        <v>2017</v>
      </c>
      <c r="C20" s="13">
        <f t="shared" ref="C20:C22" si="9">($D$11*J19/(1+$D$11))</f>
        <v>37.625666984973591</v>
      </c>
      <c r="D20" s="13">
        <f t="shared" si="5"/>
        <v>334.30508134399992</v>
      </c>
      <c r="E20" s="13">
        <f t="shared" si="0"/>
        <v>237.86374143999998</v>
      </c>
      <c r="F20" s="13">
        <f t="shared" si="0"/>
        <v>64.348969983999993</v>
      </c>
      <c r="G20" s="13">
        <f t="shared" si="0"/>
        <v>4.3757209599999998</v>
      </c>
      <c r="H20" s="23">
        <f t="shared" si="6"/>
        <v>27.71664895999994</v>
      </c>
      <c r="I20" s="13">
        <f t="shared" si="1"/>
        <v>6.1556438294365803</v>
      </c>
      <c r="J20" s="13">
        <f>J19+L20+M20</f>
        <v>161.94370361600002</v>
      </c>
      <c r="K20" s="13">
        <f t="shared" si="2"/>
        <v>18.015821823999957</v>
      </c>
      <c r="L20" s="13">
        <f t="shared" ref="L20:M23" si="10">L19*(1+$D$5)</f>
        <v>9.5298478080000102</v>
      </c>
      <c r="M20" s="13">
        <f t="shared" si="10"/>
        <v>7.027025408000001</v>
      </c>
      <c r="N20" s="13">
        <f t="shared" si="7"/>
        <v>5.8346695679999447</v>
      </c>
      <c r="O20" s="121">
        <f t="shared" si="3"/>
        <v>0.11124743612582166</v>
      </c>
      <c r="P20" s="16"/>
      <c r="Q20" s="16"/>
      <c r="R20" s="16"/>
      <c r="S20" s="16"/>
      <c r="T20" s="16"/>
      <c r="U20" s="5"/>
      <c r="AB20" s="154"/>
      <c r="AD20" s="52"/>
      <c r="AF20" s="52"/>
    </row>
    <row r="21" spans="1:32" x14ac:dyDescent="0.25">
      <c r="A21" s="40">
        <f t="shared" si="8"/>
        <v>4</v>
      </c>
      <c r="B21" s="3">
        <f t="shared" si="4"/>
        <v>2018</v>
      </c>
      <c r="C21" s="13">
        <f t="shared" si="9"/>
        <v>41.910535127594883</v>
      </c>
      <c r="D21" s="13">
        <f t="shared" si="5"/>
        <v>347.67728459775992</v>
      </c>
      <c r="E21" s="13">
        <f t="shared" si="0"/>
        <v>247.37829109759997</v>
      </c>
      <c r="F21" s="13">
        <f t="shared" si="0"/>
        <v>66.922928783359993</v>
      </c>
      <c r="G21" s="13">
        <f t="shared" si="0"/>
        <v>4.5507497983999992</v>
      </c>
      <c r="H21" s="23">
        <f t="shared" si="6"/>
        <v>28.825314918399961</v>
      </c>
      <c r="I21" s="13">
        <f t="shared" si="1"/>
        <v>6.856657904552109</v>
      </c>
      <c r="J21" s="13">
        <f>J20+L21+M21</f>
        <v>179.16285176064002</v>
      </c>
      <c r="K21" s="13">
        <f t="shared" si="2"/>
        <v>18.736454696959967</v>
      </c>
      <c r="L21" s="13">
        <f t="shared" si="10"/>
        <v>9.9110417203200107</v>
      </c>
      <c r="M21" s="13">
        <f t="shared" si="10"/>
        <v>7.3081064243200009</v>
      </c>
      <c r="N21" s="13">
        <f t="shared" si="7"/>
        <v>6.0680563507199539</v>
      </c>
      <c r="O21" s="121">
        <f t="shared" si="3"/>
        <v>0.10457778782172827</v>
      </c>
      <c r="P21" s="16"/>
      <c r="Q21" s="16"/>
      <c r="R21" s="16"/>
      <c r="S21" s="16"/>
      <c r="T21" s="16"/>
      <c r="U21" s="5"/>
      <c r="AB21" s="154"/>
      <c r="AD21" s="52"/>
      <c r="AF21" s="52"/>
    </row>
    <row r="22" spans="1:32" x14ac:dyDescent="0.25">
      <c r="A22" s="40">
        <f t="shared" si="8"/>
        <v>5</v>
      </c>
      <c r="B22" s="3">
        <f t="shared" si="4"/>
        <v>2019</v>
      </c>
      <c r="C22" s="13">
        <f t="shared" si="9"/>
        <v>46.366797995921026</v>
      </c>
      <c r="D22" s="13">
        <f t="shared" si="5"/>
        <v>361.58437598167035</v>
      </c>
      <c r="E22" s="13">
        <f t="shared" si="0"/>
        <v>257.27342274150402</v>
      </c>
      <c r="F22" s="13">
        <f t="shared" si="0"/>
        <v>69.5998459346944</v>
      </c>
      <c r="G22" s="13">
        <f t="shared" si="0"/>
        <v>4.732779790336</v>
      </c>
      <c r="H22" s="23">
        <f t="shared" si="6"/>
        <v>29.978327515135927</v>
      </c>
      <c r="I22" s="13">
        <f t="shared" si="1"/>
        <v>7.5857125426722583</v>
      </c>
      <c r="J22" s="13">
        <f>J21+L22+M22</f>
        <v>197.07076583106564</v>
      </c>
      <c r="K22" s="13">
        <f t="shared" si="2"/>
        <v>19.485912884838346</v>
      </c>
      <c r="L22" s="13">
        <f>L21*(1+$D$5)</f>
        <v>10.307483389132811</v>
      </c>
      <c r="M22" s="13">
        <f t="shared" si="10"/>
        <v>7.6004306812928011</v>
      </c>
      <c r="N22" s="13">
        <f t="shared" si="7"/>
        <v>6.3107786047487338</v>
      </c>
      <c r="O22" s="121">
        <f t="shared" si="3"/>
        <v>9.8877744766781864E-2</v>
      </c>
      <c r="P22" s="16"/>
      <c r="Q22" s="16"/>
      <c r="R22" s="16"/>
      <c r="S22" s="16"/>
      <c r="T22" s="16"/>
      <c r="U22" s="5"/>
      <c r="AB22" s="154"/>
      <c r="AD22" s="52"/>
      <c r="AF22" s="52"/>
    </row>
    <row r="23" spans="1:32" ht="18" x14ac:dyDescent="0.35">
      <c r="A23" s="107" t="s">
        <v>187</v>
      </c>
      <c r="B23" s="3">
        <f t="shared" si="4"/>
        <v>2020</v>
      </c>
      <c r="C23" s="13">
        <f>($D$11*J22/(1+$D$11))</f>
        <v>51.001311378980226</v>
      </c>
      <c r="D23" s="13">
        <f t="shared" si="5"/>
        <v>376.0477510209372</v>
      </c>
      <c r="E23" s="13">
        <f t="shared" si="0"/>
        <v>267.56435965116418</v>
      </c>
      <c r="F23" s="13">
        <f t="shared" si="0"/>
        <v>72.383839772082183</v>
      </c>
      <c r="G23" s="13">
        <f t="shared" si="0"/>
        <v>4.9220909819494407</v>
      </c>
      <c r="H23" s="23">
        <f t="shared" si="6"/>
        <v>31.177460615741392</v>
      </c>
      <c r="I23" s="13">
        <f t="shared" si="1"/>
        <v>8.3439293663172158</v>
      </c>
      <c r="J23" s="13">
        <f>J22+L23+M23</f>
        <v>215.69499646430828</v>
      </c>
      <c r="K23" s="13">
        <f t="shared" si="2"/>
        <v>20.265349400231898</v>
      </c>
      <c r="L23" s="13">
        <f t="shared" si="10"/>
        <v>10.719782724698124</v>
      </c>
      <c r="M23" s="13">
        <f t="shared" si="10"/>
        <v>7.9044479085445136</v>
      </c>
      <c r="N23" s="13">
        <f t="shared" si="7"/>
        <v>6.5632097489387018</v>
      </c>
      <c r="O23" s="121">
        <f t="shared" si="3"/>
        <v>9.3953729722169366E-2</v>
      </c>
      <c r="P23" s="4"/>
      <c r="Q23" s="4"/>
      <c r="R23" s="4"/>
      <c r="S23" s="4"/>
      <c r="T23" s="4"/>
      <c r="AB23" s="154"/>
      <c r="AD23" s="52"/>
      <c r="AF23" s="52"/>
    </row>
    <row r="24" spans="1:32" x14ac:dyDescent="0.25">
      <c r="A24" s="40"/>
      <c r="B24" s="3"/>
      <c r="C24" s="13"/>
      <c r="D24" s="13"/>
      <c r="E24" s="13"/>
      <c r="F24" s="13"/>
      <c r="G24" s="13"/>
      <c r="H24" s="13"/>
      <c r="I24" s="13"/>
      <c r="J24" s="13"/>
      <c r="K24" s="13"/>
      <c r="L24" s="13"/>
      <c r="M24" s="13"/>
      <c r="N24" s="13"/>
      <c r="O24" s="13"/>
      <c r="P24" s="4"/>
      <c r="Q24" s="4"/>
      <c r="R24" s="4"/>
      <c r="S24" s="4"/>
      <c r="T24" s="4"/>
      <c r="U24" s="16"/>
      <c r="AB24" s="25"/>
    </row>
    <row r="25" spans="1:32" x14ac:dyDescent="0.25">
      <c r="A25" s="40"/>
      <c r="U25" s="108"/>
      <c r="AB25" s="108"/>
    </row>
    <row r="26" spans="1:32" ht="30" customHeight="1" x14ac:dyDescent="0.25">
      <c r="A26" s="40"/>
      <c r="B26" s="152" t="s">
        <v>33</v>
      </c>
      <c r="C26" s="152"/>
      <c r="D26" s="152"/>
      <c r="E26" s="152"/>
      <c r="F26" s="152"/>
      <c r="G26" s="152"/>
      <c r="H26" s="152"/>
      <c r="I26" s="113"/>
      <c r="J26" s="153" t="s">
        <v>13</v>
      </c>
      <c r="K26" s="153"/>
      <c r="L26" s="153"/>
      <c r="M26" s="113"/>
      <c r="N26" s="159" t="s">
        <v>189</v>
      </c>
      <c r="O26" s="159"/>
      <c r="P26" s="159"/>
      <c r="Q26" s="112"/>
      <c r="R26" s="160" t="s">
        <v>190</v>
      </c>
      <c r="S26" s="160"/>
      <c r="T26" s="160"/>
      <c r="U26" s="113"/>
      <c r="V26" s="158" t="s">
        <v>56</v>
      </c>
      <c r="W26" s="158"/>
      <c r="X26" s="158"/>
      <c r="Y26" s="158"/>
      <c r="Z26" s="158"/>
      <c r="AA26" s="158"/>
      <c r="AB26" s="26"/>
    </row>
    <row r="27" spans="1:32" ht="33" x14ac:dyDescent="0.35">
      <c r="A27" s="40"/>
      <c r="B27" s="20" t="s">
        <v>0</v>
      </c>
      <c r="C27" s="20" t="s">
        <v>12</v>
      </c>
      <c r="D27" s="20" t="s">
        <v>7</v>
      </c>
      <c r="E27" s="20" t="s">
        <v>15</v>
      </c>
      <c r="F27" s="20" t="s">
        <v>37</v>
      </c>
      <c r="G27" s="20" t="s">
        <v>45</v>
      </c>
      <c r="H27" s="20" t="s">
        <v>46</v>
      </c>
      <c r="J27" s="44" t="s">
        <v>13</v>
      </c>
      <c r="K27" s="44" t="s">
        <v>47</v>
      </c>
      <c r="L27" s="44" t="s">
        <v>48</v>
      </c>
      <c r="M27" s="22"/>
      <c r="N27" s="109" t="str">
        <f>J27</f>
        <v>FCF</v>
      </c>
      <c r="O27" s="115" t="s">
        <v>177</v>
      </c>
      <c r="P27" s="115" t="s">
        <v>178</v>
      </c>
      <c r="Q27" s="115"/>
      <c r="R27" s="123" t="str">
        <f>N27</f>
        <v>FCF</v>
      </c>
      <c r="S27" s="124" t="s">
        <v>191</v>
      </c>
      <c r="T27" s="124" t="s">
        <v>192</v>
      </c>
      <c r="V27" s="54" t="s">
        <v>13</v>
      </c>
      <c r="W27" s="54" t="s">
        <v>60</v>
      </c>
      <c r="X27" s="54" t="s">
        <v>61</v>
      </c>
      <c r="Y27" s="54" t="s">
        <v>57</v>
      </c>
      <c r="Z27" s="54" t="s">
        <v>58</v>
      </c>
      <c r="AA27" s="54" t="s">
        <v>59</v>
      </c>
      <c r="AB27" s="27"/>
      <c r="AC27" s="34"/>
      <c r="AD27" s="34"/>
    </row>
    <row r="28" spans="1:32" x14ac:dyDescent="0.25">
      <c r="A28" s="40">
        <v>0</v>
      </c>
      <c r="B28" s="18">
        <f>B14</f>
        <v>2014</v>
      </c>
      <c r="C28" s="18">
        <f>J14</f>
        <v>114.15900000000001</v>
      </c>
      <c r="D28" s="118">
        <f>O14</f>
        <v>0.14029555269404922</v>
      </c>
      <c r="E28" s="118">
        <f>$D$8</f>
        <v>0.13131957331427446</v>
      </c>
      <c r="F28" s="21">
        <f t="shared" ref="F28:F34" si="11">C28*(D28-E28)</f>
        <v>1.0246888300157071</v>
      </c>
      <c r="G28" s="49"/>
      <c r="H28" s="108"/>
      <c r="J28" s="45">
        <f>N14</f>
        <v>5.1869999999999585</v>
      </c>
      <c r="K28" s="46"/>
      <c r="L28" s="46"/>
      <c r="N28">
        <f t="shared" ref="N28:O34" si="12">J28</f>
        <v>5.1869999999999585</v>
      </c>
      <c r="R28" s="125">
        <f t="shared" ref="R28:R34" si="13">N28</f>
        <v>5.1869999999999585</v>
      </c>
      <c r="S28" s="125"/>
      <c r="T28" s="125"/>
      <c r="V28" s="55">
        <f>N14</f>
        <v>5.1869999999999585</v>
      </c>
      <c r="W28" s="31"/>
      <c r="X28" s="31"/>
      <c r="Y28" s="55">
        <f>I14*$D$7</f>
        <v>1.5260000000000009</v>
      </c>
      <c r="Z28" s="31"/>
      <c r="AA28" s="31"/>
      <c r="AB28" s="11"/>
      <c r="AC28" s="37"/>
      <c r="AD28" s="35"/>
    </row>
    <row r="29" spans="1:32" x14ac:dyDescent="0.25">
      <c r="A29" s="40">
        <v>1</v>
      </c>
      <c r="B29" s="18">
        <f t="shared" ref="B29:B34" si="14">B18</f>
        <v>2015</v>
      </c>
      <c r="C29" s="29">
        <f t="shared" ref="C29:C34" si="15">J18</f>
        <v>129.46676000000002</v>
      </c>
      <c r="D29" s="118">
        <f t="shared" ref="D29:D34" si="16">O18</f>
        <v>0.12865572599484199</v>
      </c>
      <c r="E29" s="118">
        <f>$D$8</f>
        <v>0.13131957331427446</v>
      </c>
      <c r="F29" s="21">
        <f t="shared" si="11"/>
        <v>-0.34487968158160798</v>
      </c>
      <c r="G29" s="119">
        <f>F29/((1+$D$8)^A29)</f>
        <v>-0.30484726837286169</v>
      </c>
      <c r="H29" s="119">
        <f>G29</f>
        <v>-0.30484726837286169</v>
      </c>
      <c r="J29" s="45">
        <f t="shared" ref="J29:J34" si="17">N18</f>
        <v>5.3944799999999615</v>
      </c>
      <c r="K29" s="47">
        <f>J29/((1+$D$8)^A29)</f>
        <v>4.7683078479730359</v>
      </c>
      <c r="L29" s="47">
        <f>K29</f>
        <v>4.7683078479730359</v>
      </c>
      <c r="N29" s="52">
        <f t="shared" si="12"/>
        <v>5.3944799999999615</v>
      </c>
      <c r="O29" s="52">
        <f t="shared" si="12"/>
        <v>4.7683078479730359</v>
      </c>
      <c r="P29" s="52">
        <f>L29</f>
        <v>4.7683078479730359</v>
      </c>
      <c r="Q29" s="52"/>
      <c r="R29" s="126">
        <f t="shared" si="13"/>
        <v>5.3944799999999615</v>
      </c>
      <c r="S29" s="126">
        <f t="shared" ref="S29:S33" si="18">O29</f>
        <v>4.7683078479730359</v>
      </c>
      <c r="T29" s="126">
        <f>P29</f>
        <v>4.7683078479730359</v>
      </c>
      <c r="U29" s="11"/>
      <c r="V29" s="55">
        <f t="shared" ref="V29:V34" si="19">N18</f>
        <v>5.3944799999999615</v>
      </c>
      <c r="W29" s="55">
        <f>N18/((1+$H$8)^A18)</f>
        <v>4.7683078479730359</v>
      </c>
      <c r="X29" s="55">
        <f>W29</f>
        <v>4.7683078479730359</v>
      </c>
      <c r="Y29" s="55">
        <f t="shared" ref="Y29:Y34" si="20">I18*$D$7</f>
        <v>1.6917127204502824</v>
      </c>
      <c r="Z29" s="32">
        <f>Y29/((1+$J$8)^A18)</f>
        <v>1.4953446933604266</v>
      </c>
      <c r="AA29" s="32">
        <f>Z29</f>
        <v>1.4953446933604266</v>
      </c>
      <c r="AC29" s="37"/>
      <c r="AD29" s="35"/>
    </row>
    <row r="30" spans="1:32" x14ac:dyDescent="0.25">
      <c r="A30" s="40">
        <v>2</v>
      </c>
      <c r="B30" s="18">
        <f t="shared" si="14"/>
        <v>2016</v>
      </c>
      <c r="C30" s="29">
        <f t="shared" si="15"/>
        <v>145.38683040000001</v>
      </c>
      <c r="D30" s="118">
        <f t="shared" si="16"/>
        <v>0.11915044541750992</v>
      </c>
      <c r="E30" s="118">
        <f t="shared" ref="E30:E34" si="21">$D$8</f>
        <v>0.13131957331427446</v>
      </c>
      <c r="F30" s="21">
        <f t="shared" si="11"/>
        <v>-1.7692309336428149</v>
      </c>
      <c r="G30" s="119">
        <f>F30/((1+$D$8)^A30)</f>
        <v>-1.3823369660737537</v>
      </c>
      <c r="H30" s="119">
        <f>H29+G30</f>
        <v>-1.6871842344466152</v>
      </c>
      <c r="J30" s="45">
        <f t="shared" si="17"/>
        <v>5.6102591999999625</v>
      </c>
      <c r="K30" s="47">
        <f>J30/((1+$D$8)^A30)</f>
        <v>4.3834123256297319</v>
      </c>
      <c r="L30" s="47">
        <f>L29+K30</f>
        <v>9.1517201736027687</v>
      </c>
      <c r="N30" s="52">
        <f t="shared" si="12"/>
        <v>5.6102591999999625</v>
      </c>
      <c r="O30" s="52">
        <f t="shared" si="12"/>
        <v>4.3834123256297319</v>
      </c>
      <c r="P30" s="52">
        <f>L30</f>
        <v>9.1517201736027687</v>
      </c>
      <c r="Q30" s="52"/>
      <c r="R30" s="126">
        <f t="shared" si="13"/>
        <v>5.6102591999999625</v>
      </c>
      <c r="S30" s="126">
        <f t="shared" si="18"/>
        <v>4.3834123256297319</v>
      </c>
      <c r="T30" s="126">
        <f>P30</f>
        <v>9.1517201736027687</v>
      </c>
      <c r="U30" s="27"/>
      <c r="V30" s="55">
        <f t="shared" si="19"/>
        <v>5.6102591999999625</v>
      </c>
      <c r="W30" s="55">
        <f>N19/((1+$H$8)^A19)</f>
        <v>4.3834123256297319</v>
      </c>
      <c r="X30" s="55">
        <f>X29+W30</f>
        <v>9.1517201736027687</v>
      </c>
      <c r="Y30" s="55">
        <f t="shared" si="20"/>
        <v>1.9185571419466168</v>
      </c>
      <c r="Z30" s="32">
        <f>Y30/((1+$J$8)^A19)</f>
        <v>1.4990086417814363</v>
      </c>
      <c r="AA30" s="32">
        <f>AA29+Z30</f>
        <v>2.994353335141863</v>
      </c>
      <c r="AC30" s="37"/>
      <c r="AD30" s="36"/>
    </row>
    <row r="31" spans="1:32" x14ac:dyDescent="0.25">
      <c r="A31" s="40">
        <v>3</v>
      </c>
      <c r="B31" s="18">
        <f t="shared" si="14"/>
        <v>2017</v>
      </c>
      <c r="C31" s="29">
        <f t="shared" si="15"/>
        <v>161.94370361600002</v>
      </c>
      <c r="D31" s="118">
        <f t="shared" si="16"/>
        <v>0.11124743612582166</v>
      </c>
      <c r="E31" s="118">
        <f t="shared" si="21"/>
        <v>0.13131957331427446</v>
      </c>
      <c r="F31" s="21">
        <f t="shared" si="11"/>
        <v>-3.2505562357864921</v>
      </c>
      <c r="G31" s="119">
        <f>F31/((1+$D$8)^A31)</f>
        <v>-2.2449247123504685</v>
      </c>
      <c r="H31" s="119">
        <f t="shared" ref="H31:H33" si="22">H30+G31</f>
        <v>-3.9321089467970838</v>
      </c>
      <c r="J31" s="45">
        <f t="shared" si="17"/>
        <v>5.8346695679999447</v>
      </c>
      <c r="K31" s="47">
        <f>J31/((1+$D$8)^A31)</f>
        <v>4.0295853852327124</v>
      </c>
      <c r="L31" s="47">
        <f>L30+K31</f>
        <v>13.181305558835481</v>
      </c>
      <c r="N31" s="52">
        <f t="shared" si="12"/>
        <v>5.8346695679999447</v>
      </c>
      <c r="O31" s="52">
        <f t="shared" si="12"/>
        <v>4.0295853852327124</v>
      </c>
      <c r="P31" s="52">
        <f>L31</f>
        <v>13.181305558835481</v>
      </c>
      <c r="Q31" s="52"/>
      <c r="R31" s="126">
        <f t="shared" si="13"/>
        <v>5.8346695679999447</v>
      </c>
      <c r="S31" s="126">
        <f t="shared" si="18"/>
        <v>4.0295853852327124</v>
      </c>
      <c r="T31" s="126">
        <f>P31</f>
        <v>13.181305558835481</v>
      </c>
      <c r="U31" s="39"/>
      <c r="V31" s="55">
        <f t="shared" si="19"/>
        <v>5.8346695679999447</v>
      </c>
      <c r="W31" s="55">
        <f>N20/((1+$H$8)^A20)</f>
        <v>4.0295853852327124</v>
      </c>
      <c r="X31" s="55">
        <f>X30+W31</f>
        <v>13.181305558835481</v>
      </c>
      <c r="Y31" s="55">
        <f t="shared" si="20"/>
        <v>2.1544753403028043</v>
      </c>
      <c r="Z31" s="32">
        <f>Y31/((1+$J$8)^A20)</f>
        <v>1.487940703916232</v>
      </c>
      <c r="AA31" s="32">
        <f t="shared" ref="AA31:AA33" si="23">AA30+Z31</f>
        <v>4.482294039058095</v>
      </c>
    </row>
    <row r="32" spans="1:32" x14ac:dyDescent="0.25">
      <c r="A32" s="40">
        <v>4</v>
      </c>
      <c r="B32" s="18">
        <f t="shared" si="14"/>
        <v>2018</v>
      </c>
      <c r="C32" s="29">
        <f t="shared" si="15"/>
        <v>179.16285176064002</v>
      </c>
      <c r="D32" s="118">
        <f t="shared" si="16"/>
        <v>0.10457778782172827</v>
      </c>
      <c r="E32" s="118">
        <f t="shared" si="21"/>
        <v>0.13131957331427446</v>
      </c>
      <c r="F32" s="21">
        <f t="shared" si="11"/>
        <v>-4.7911345500158866</v>
      </c>
      <c r="G32" s="119">
        <f>F32/((1+$D$8)^A32)</f>
        <v>-2.9248066612014112</v>
      </c>
      <c r="H32" s="119">
        <f t="shared" si="22"/>
        <v>-6.856915607998495</v>
      </c>
      <c r="J32" s="45">
        <f t="shared" si="17"/>
        <v>6.0680563507199539</v>
      </c>
      <c r="K32" s="47">
        <f>J32/((1+$D$8)^A32)</f>
        <v>3.704319185749521</v>
      </c>
      <c r="L32" s="47">
        <f>L31+K32</f>
        <v>16.885624744585002</v>
      </c>
      <c r="N32" s="52">
        <f t="shared" si="12"/>
        <v>6.0680563507199539</v>
      </c>
      <c r="O32" s="52">
        <f t="shared" si="12"/>
        <v>3.704319185749521</v>
      </c>
      <c r="P32" s="52">
        <f>L32</f>
        <v>16.885624744585002</v>
      </c>
      <c r="Q32" s="52"/>
      <c r="R32" s="126">
        <f t="shared" si="13"/>
        <v>6.0680563507199539</v>
      </c>
      <c r="S32" s="126">
        <f t="shared" si="18"/>
        <v>3.704319185749521</v>
      </c>
      <c r="T32" s="126">
        <f>P32</f>
        <v>16.885624744585002</v>
      </c>
      <c r="V32" s="55">
        <f t="shared" si="19"/>
        <v>6.0680563507199539</v>
      </c>
      <c r="W32" s="55">
        <f>N21/((1+$H$8)^A21)</f>
        <v>3.704319185749521</v>
      </c>
      <c r="X32" s="55">
        <f>X31+W32</f>
        <v>16.885624744585002</v>
      </c>
      <c r="Y32" s="55">
        <f t="shared" si="20"/>
        <v>2.3998302665932396</v>
      </c>
      <c r="Z32" s="32">
        <f>Y32/((1+$J$8)^A21)</f>
        <v>1.4650057259321576</v>
      </c>
      <c r="AA32" s="32">
        <f t="shared" si="23"/>
        <v>5.9472997649902526</v>
      </c>
    </row>
    <row r="33" spans="1:27" x14ac:dyDescent="0.25">
      <c r="A33" s="40">
        <v>5</v>
      </c>
      <c r="B33" s="18">
        <f t="shared" si="14"/>
        <v>2019</v>
      </c>
      <c r="C33" s="29">
        <f t="shared" si="15"/>
        <v>197.07076583106564</v>
      </c>
      <c r="D33" s="118">
        <f t="shared" si="16"/>
        <v>9.8877744766781864E-2</v>
      </c>
      <c r="E33" s="118">
        <f t="shared" si="21"/>
        <v>0.13131957331427446</v>
      </c>
      <c r="F33" s="21">
        <f t="shared" si="11"/>
        <v>-6.3933359968144945</v>
      </c>
      <c r="G33" s="119">
        <f>F33/((1+$D$8)^A33)</f>
        <v>-3.4498564460058887</v>
      </c>
      <c r="H33" s="119">
        <f t="shared" si="22"/>
        <v>-10.306772054004384</v>
      </c>
      <c r="J33" s="45">
        <f t="shared" si="17"/>
        <v>6.3107786047487338</v>
      </c>
      <c r="K33" s="47">
        <f>J33/((1+$D$8)^A33)</f>
        <v>3.4053083178728749</v>
      </c>
      <c r="L33" s="47">
        <f>L32+K33</f>
        <v>20.290933062457878</v>
      </c>
      <c r="N33" s="52">
        <f t="shared" si="12"/>
        <v>6.3107786047487338</v>
      </c>
      <c r="O33" s="52">
        <f t="shared" si="12"/>
        <v>3.4053083178728749</v>
      </c>
      <c r="P33" s="52">
        <f>L33</f>
        <v>20.290933062457878</v>
      </c>
      <c r="Q33" s="52"/>
      <c r="R33" s="126">
        <f t="shared" si="13"/>
        <v>6.3107786047487338</v>
      </c>
      <c r="S33" s="126">
        <f t="shared" si="18"/>
        <v>3.4053083178728749</v>
      </c>
      <c r="T33" s="126">
        <f>P33</f>
        <v>20.290933062457878</v>
      </c>
      <c r="V33" s="55">
        <f t="shared" si="19"/>
        <v>6.3107786047487338</v>
      </c>
      <c r="W33" s="55">
        <f>N22/((1+$H$8)^A22)</f>
        <v>3.4053083178728749</v>
      </c>
      <c r="X33" s="55">
        <f>X32+W33</f>
        <v>20.290933062457878</v>
      </c>
      <c r="Y33" s="55">
        <f t="shared" si="20"/>
        <v>2.6549993899352917</v>
      </c>
      <c r="Z33" s="32">
        <f>Y33/((1+$J$8)^A22)</f>
        <v>1.4326427961980506</v>
      </c>
      <c r="AA33" s="32">
        <f t="shared" si="23"/>
        <v>7.3799425611883027</v>
      </c>
    </row>
    <row r="34" spans="1:27" ht="18" x14ac:dyDescent="0.35">
      <c r="A34" s="107" t="s">
        <v>187</v>
      </c>
      <c r="B34" s="18">
        <f t="shared" si="14"/>
        <v>2020</v>
      </c>
      <c r="C34" s="29">
        <f t="shared" si="15"/>
        <v>215.69499646430828</v>
      </c>
      <c r="D34" s="118">
        <f t="shared" si="16"/>
        <v>9.3953729722169366E-2</v>
      </c>
      <c r="E34" s="118">
        <f t="shared" si="21"/>
        <v>0.13131957331427446</v>
      </c>
      <c r="F34" s="21">
        <f t="shared" si="11"/>
        <v>-8.0596255014850051</v>
      </c>
      <c r="G34" s="19"/>
      <c r="J34" s="45">
        <f t="shared" si="17"/>
        <v>6.5632097489387018</v>
      </c>
      <c r="K34" s="46"/>
      <c r="L34" s="46"/>
      <c r="N34" s="52">
        <f t="shared" si="12"/>
        <v>6.5632097489387018</v>
      </c>
      <c r="O34" s="52"/>
      <c r="P34" s="52"/>
      <c r="Q34" s="52"/>
      <c r="R34" s="126">
        <f t="shared" si="13"/>
        <v>6.5632097489387018</v>
      </c>
      <c r="S34" s="126"/>
      <c r="T34" s="126"/>
      <c r="V34" s="55">
        <f t="shared" si="19"/>
        <v>6.5632097489387018</v>
      </c>
      <c r="W34" s="32"/>
      <c r="X34" s="32"/>
      <c r="Y34" s="55">
        <f t="shared" si="20"/>
        <v>2.920375278211027</v>
      </c>
      <c r="Z34" s="32"/>
      <c r="AA34" s="32"/>
    </row>
    <row r="35" spans="1:27" x14ac:dyDescent="0.25">
      <c r="B35" s="18"/>
      <c r="C35" s="29"/>
      <c r="D35" s="21"/>
      <c r="E35" s="21"/>
      <c r="F35" s="21"/>
      <c r="G35" s="19"/>
      <c r="J35" s="45"/>
      <c r="K35" s="46"/>
      <c r="L35" s="46"/>
      <c r="N35" s="52"/>
      <c r="O35" s="52"/>
      <c r="P35" s="52"/>
      <c r="Q35" s="52"/>
      <c r="R35" s="126"/>
      <c r="S35" s="126"/>
      <c r="T35" s="126"/>
      <c r="V35" s="55"/>
      <c r="W35" s="32"/>
      <c r="X35" s="32"/>
      <c r="Y35" s="55"/>
      <c r="Z35" s="32"/>
      <c r="AA35" s="32"/>
    </row>
    <row r="36" spans="1:27" ht="18" x14ac:dyDescent="0.25">
      <c r="B36" s="18"/>
      <c r="C36" s="17"/>
      <c r="D36" s="21"/>
      <c r="E36" s="21"/>
      <c r="F36" s="18"/>
      <c r="G36" s="18"/>
      <c r="J36" s="46"/>
      <c r="K36" s="46"/>
      <c r="L36" s="46"/>
      <c r="R36" s="125"/>
      <c r="S36" s="125"/>
      <c r="T36" s="125"/>
      <c r="V36" s="33"/>
      <c r="W36" s="34"/>
      <c r="X36" s="114" t="s">
        <v>31</v>
      </c>
      <c r="Y36" s="114"/>
      <c r="Z36" s="114"/>
      <c r="AA36" s="114" t="s">
        <v>32</v>
      </c>
    </row>
    <row r="37" spans="1:27" ht="18" x14ac:dyDescent="0.35">
      <c r="B37" s="18"/>
      <c r="C37" s="17"/>
      <c r="D37" s="21"/>
      <c r="E37" s="21"/>
      <c r="G37" s="38" t="s">
        <v>64</v>
      </c>
      <c r="H37" s="50">
        <f>C28</f>
        <v>114.15900000000001</v>
      </c>
      <c r="J37" s="46"/>
      <c r="K37" s="51" t="s">
        <v>47</v>
      </c>
      <c r="L37" s="47">
        <f>L33</f>
        <v>20.290933062457878</v>
      </c>
      <c r="O37" s="40" t="s">
        <v>34</v>
      </c>
      <c r="P37" s="26">
        <f>L37</f>
        <v>20.290933062457878</v>
      </c>
      <c r="Q37" s="26"/>
      <c r="R37" s="127"/>
      <c r="S37" s="128" t="s">
        <v>193</v>
      </c>
      <c r="T37" s="127">
        <f>L37</f>
        <v>20.290933062457878</v>
      </c>
      <c r="V37" s="34"/>
      <c r="W37" s="37" t="s">
        <v>60</v>
      </c>
      <c r="X37" s="32">
        <f>X33</f>
        <v>20.290933062457878</v>
      </c>
      <c r="Y37" s="32"/>
      <c r="Z37" s="37" t="s">
        <v>182</v>
      </c>
      <c r="AA37" s="32">
        <f>AA33</f>
        <v>7.3799425611883027</v>
      </c>
    </row>
    <row r="38" spans="1:27" ht="18" x14ac:dyDescent="0.35">
      <c r="G38" s="38" t="s">
        <v>35</v>
      </c>
      <c r="H38" s="50">
        <f>H33</f>
        <v>-10.306772054004384</v>
      </c>
      <c r="J38" s="46"/>
      <c r="K38" s="51" t="s">
        <v>52</v>
      </c>
      <c r="L38" s="47">
        <f>(J34)/(D8-D5)</f>
        <v>71.870788602477901</v>
      </c>
      <c r="O38" s="42" t="s">
        <v>39</v>
      </c>
      <c r="P38" s="26">
        <f>N23/(D8-D5)</f>
        <v>71.870788602477901</v>
      </c>
      <c r="Q38" s="26"/>
      <c r="R38" s="127"/>
      <c r="S38" s="129" t="s">
        <v>39</v>
      </c>
      <c r="T38" s="127">
        <f>(K23*(1-(D5/O23)))/(D8-D5)</f>
        <v>127.43762502710319</v>
      </c>
      <c r="V38" s="113"/>
      <c r="W38" s="37" t="s">
        <v>179</v>
      </c>
      <c r="X38" s="32">
        <f>(V34)/(H8-D5)</f>
        <v>71.870788602477901</v>
      </c>
      <c r="Y38" s="32"/>
      <c r="Z38" s="37" t="s">
        <v>183</v>
      </c>
      <c r="AA38" s="32">
        <f>(Y34)/(J8-D5)</f>
        <v>31.979729779952155</v>
      </c>
    </row>
    <row r="39" spans="1:27" ht="18" x14ac:dyDescent="0.35">
      <c r="G39" s="38" t="s">
        <v>49</v>
      </c>
      <c r="H39" s="50">
        <f>(C33*(D34-D8))/(D8-D5)</f>
        <v>-80.636769811417011</v>
      </c>
      <c r="J39" s="46"/>
      <c r="K39" s="51" t="s">
        <v>53</v>
      </c>
      <c r="L39" s="47">
        <f>L38/((1+D8)^A33)</f>
        <v>38.781616274089771</v>
      </c>
      <c r="O39" s="40" t="s">
        <v>41</v>
      </c>
      <c r="P39" s="26">
        <f>P38/((1+D8)^A22)</f>
        <v>38.781616274089771</v>
      </c>
      <c r="Q39" s="26"/>
      <c r="R39" s="127"/>
      <c r="S39" s="128" t="s">
        <v>194</v>
      </c>
      <c r="T39" s="127">
        <f>T38/((1+D8)^A22)</f>
        <v>68.765588478767029</v>
      </c>
      <c r="W39" s="37" t="s">
        <v>180</v>
      </c>
      <c r="X39" s="32">
        <f>X38/((1+H8)^A22)</f>
        <v>38.781616274089771</v>
      </c>
      <c r="Y39" s="32"/>
      <c r="Z39" s="37" t="s">
        <v>184</v>
      </c>
      <c r="AA39" s="32">
        <f>AA38/((1+J8)^A22)</f>
        <v>17.25632392507832</v>
      </c>
    </row>
    <row r="40" spans="1:27" ht="18" x14ac:dyDescent="0.35">
      <c r="C40" s="1"/>
      <c r="D40" s="5"/>
      <c r="E40" s="5"/>
      <c r="G40" s="38" t="s">
        <v>50</v>
      </c>
      <c r="H40" s="50">
        <f>H39/((1+E34)^A33)</f>
        <v>-43.511756656871619</v>
      </c>
      <c r="J40" s="48"/>
      <c r="K40" s="51" t="s">
        <v>54</v>
      </c>
      <c r="L40" s="47">
        <f>L37+L39</f>
        <v>59.072549336547652</v>
      </c>
      <c r="O40" s="40" t="s">
        <v>40</v>
      </c>
      <c r="P40" s="26">
        <f>P39+P37</f>
        <v>59.072549336547652</v>
      </c>
      <c r="Q40" s="26"/>
      <c r="R40" s="127"/>
      <c r="S40" s="128" t="s">
        <v>40</v>
      </c>
      <c r="T40" s="127">
        <f>T39+T37</f>
        <v>89.05652154122491</v>
      </c>
      <c r="W40" s="37" t="s">
        <v>181</v>
      </c>
      <c r="X40" s="32">
        <f>X37+X39</f>
        <v>59.072549336547652</v>
      </c>
      <c r="Y40" s="32"/>
      <c r="Z40" s="37" t="s">
        <v>185</v>
      </c>
      <c r="AA40" s="32">
        <f>AA37+AA39</f>
        <v>24.636266486266621</v>
      </c>
    </row>
    <row r="41" spans="1:27" ht="18" x14ac:dyDescent="0.35">
      <c r="G41" s="38" t="s">
        <v>51</v>
      </c>
      <c r="H41" s="50">
        <f>H38+H40+H37</f>
        <v>60.340471289124004</v>
      </c>
      <c r="W41" s="132" t="s">
        <v>186</v>
      </c>
      <c r="X41" s="55">
        <f>X40+AA40</f>
        <v>83.708815822814273</v>
      </c>
    </row>
    <row r="44" spans="1:27" x14ac:dyDescent="0.25">
      <c r="W44" s="111"/>
    </row>
    <row r="45" spans="1:27" x14ac:dyDescent="0.25">
      <c r="H45" s="26"/>
    </row>
    <row r="46" spans="1:27" x14ac:dyDescent="0.25">
      <c r="H46" s="26"/>
    </row>
    <row r="47" spans="1:27" x14ac:dyDescent="0.25">
      <c r="H47" s="26"/>
    </row>
  </sheetData>
  <mergeCells count="16">
    <mergeCell ref="A8:C8"/>
    <mergeCell ref="A9:C9"/>
    <mergeCell ref="A11:C11"/>
    <mergeCell ref="F11:H11"/>
    <mergeCell ref="AB18:AB23"/>
    <mergeCell ref="B26:H26"/>
    <mergeCell ref="J26:L26"/>
    <mergeCell ref="V26:AA26"/>
    <mergeCell ref="N26:P26"/>
    <mergeCell ref="R26:T26"/>
    <mergeCell ref="A7:C7"/>
    <mergeCell ref="A1:AD1"/>
    <mergeCell ref="A2:AD2"/>
    <mergeCell ref="A5:C5"/>
    <mergeCell ref="F5:H5"/>
    <mergeCell ref="A6:C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80" zoomScaleNormal="80" workbookViewId="0">
      <selection activeCell="L18" sqref="L18"/>
    </sheetView>
  </sheetViews>
  <sheetFormatPr defaultRowHeight="15" x14ac:dyDescent="0.25"/>
  <cols>
    <col min="5" max="5" width="11.5703125" bestFit="1" customWidth="1"/>
    <col min="6" max="8" width="10.7109375" customWidth="1"/>
    <col min="9" max="9" width="8.7109375" customWidth="1"/>
    <col min="10" max="10" width="10.5703125" bestFit="1" customWidth="1"/>
    <col min="11" max="11" width="10.5703125" customWidth="1"/>
    <col min="13" max="13" width="11.28515625" bestFit="1" customWidth="1"/>
    <col min="14" max="16" width="9.5703125" bestFit="1" customWidth="1"/>
    <col min="17" max="20" width="9.5703125" customWidth="1"/>
    <col min="21" max="21" width="9.5703125" bestFit="1" customWidth="1"/>
    <col min="22" max="27" width="12.7109375" customWidth="1"/>
    <col min="28" max="28" width="4.7109375" customWidth="1"/>
    <col min="29" max="30" width="10.5703125" customWidth="1"/>
  </cols>
  <sheetData>
    <row r="1" spans="1:30" x14ac:dyDescent="0.25">
      <c r="A1" s="139" t="s">
        <v>176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30" x14ac:dyDescent="0.25">
      <c r="A2" s="139" t="s">
        <v>36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row>
    <row r="3" spans="1:30" x14ac:dyDescent="0.2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x14ac:dyDescent="0.25">
      <c r="I4" s="130">
        <v>2013</v>
      </c>
      <c r="J4" s="130">
        <v>2014</v>
      </c>
    </row>
    <row r="5" spans="1:30" ht="18" x14ac:dyDescent="0.35">
      <c r="A5" s="163" t="s">
        <v>198</v>
      </c>
      <c r="B5" s="162"/>
      <c r="C5" s="162"/>
      <c r="D5" s="95">
        <v>0.04</v>
      </c>
      <c r="F5" s="162" t="s">
        <v>5</v>
      </c>
      <c r="G5" s="162"/>
      <c r="H5" s="162"/>
      <c r="I5">
        <f>'Fin Stmt'!J15</f>
        <v>26.65</v>
      </c>
      <c r="J5">
        <f>'Fin Stmt'!K15</f>
        <v>29.544</v>
      </c>
      <c r="M5" s="109" t="s">
        <v>18</v>
      </c>
      <c r="N5" s="109" t="s">
        <v>19</v>
      </c>
      <c r="O5" s="109" t="s">
        <v>20</v>
      </c>
      <c r="P5" s="109" t="s">
        <v>21</v>
      </c>
      <c r="Q5" s="109"/>
      <c r="R5" s="108"/>
      <c r="S5" s="109" t="s">
        <v>15</v>
      </c>
      <c r="T5" s="109"/>
      <c r="X5" s="109"/>
      <c r="Y5" s="109"/>
      <c r="Z5" s="109"/>
      <c r="AA5" s="109"/>
    </row>
    <row r="6" spans="1:30" x14ac:dyDescent="0.25">
      <c r="A6" s="163" t="s">
        <v>199</v>
      </c>
      <c r="B6" s="162"/>
      <c r="C6" s="162"/>
      <c r="D6" s="95">
        <f>(Y34-Y33)/Y33</f>
        <v>9.9953276555066597E-2</v>
      </c>
      <c r="M6" s="122">
        <f>'Fin Stmt'!P63/'Fin Stmt'!P59+'Fin Stmt'!K13</f>
        <v>40.749180310664883</v>
      </c>
      <c r="N6" s="108">
        <f>'Fin Stmt'!K33</f>
        <v>73.802500000000009</v>
      </c>
      <c r="O6" s="108">
        <f>'Fin Stmt'!F31</f>
        <v>0.125</v>
      </c>
      <c r="P6" s="108">
        <f>SUM(M6:O6)</f>
        <v>114.67668031066489</v>
      </c>
      <c r="Q6" s="108"/>
      <c r="R6" s="108"/>
      <c r="S6" s="117">
        <f>((M8*M10)*(1-D7))+(N8*N10)+(O8*P10)</f>
        <v>0.10490975889364912</v>
      </c>
      <c r="T6" s="16"/>
      <c r="X6" s="16"/>
      <c r="Y6" s="16"/>
      <c r="Z6" s="16"/>
      <c r="AA6" s="16"/>
    </row>
    <row r="7" spans="1:30" ht="18" x14ac:dyDescent="0.35">
      <c r="A7" s="162" t="s">
        <v>9</v>
      </c>
      <c r="B7" s="162"/>
      <c r="C7" s="162"/>
      <c r="D7" s="95">
        <f>'Fin Stmt'!P37</f>
        <v>0.3500000000000002</v>
      </c>
      <c r="G7" s="130" t="s">
        <v>200</v>
      </c>
      <c r="M7" s="109" t="s">
        <v>22</v>
      </c>
      <c r="N7" s="109" t="s">
        <v>23</v>
      </c>
      <c r="O7" s="109" t="s">
        <v>24</v>
      </c>
      <c r="P7" s="108"/>
      <c r="Q7" s="108"/>
      <c r="R7" s="108"/>
      <c r="S7" s="108"/>
      <c r="T7" s="108"/>
      <c r="X7" s="108"/>
      <c r="Y7" s="108"/>
      <c r="Z7" s="108"/>
      <c r="AA7" s="108"/>
    </row>
    <row r="8" spans="1:30" ht="18" x14ac:dyDescent="0.35">
      <c r="A8" s="162" t="s">
        <v>17</v>
      </c>
      <c r="B8" s="162"/>
      <c r="C8" s="162"/>
      <c r="D8" s="116">
        <f>S6</f>
        <v>0.10490975889364912</v>
      </c>
      <c r="E8" s="8"/>
      <c r="F8" s="8"/>
      <c r="G8" s="110" t="s">
        <v>43</v>
      </c>
      <c r="H8" s="95">
        <f>D8</f>
        <v>0.10490975889364912</v>
      </c>
      <c r="I8" s="110" t="s">
        <v>44</v>
      </c>
      <c r="J8" s="95">
        <f>H8</f>
        <v>0.10490975889364912</v>
      </c>
      <c r="M8" s="134">
        <f>M6/$P$6</f>
        <v>0.35533972731224261</v>
      </c>
      <c r="N8" s="134">
        <f>N6/$P$6</f>
        <v>0.64357025159836623</v>
      </c>
      <c r="O8" s="134">
        <f>O6/$P$6</f>
        <v>1.0900210893912234E-3</v>
      </c>
      <c r="P8" s="108"/>
      <c r="Q8" s="108"/>
      <c r="R8" s="108"/>
      <c r="S8" s="108"/>
      <c r="T8" s="108"/>
      <c r="X8" s="108"/>
      <c r="Y8" s="108"/>
      <c r="Z8" s="108"/>
      <c r="AA8" s="108"/>
    </row>
    <row r="9" spans="1:30" ht="31.5" x14ac:dyDescent="0.35">
      <c r="A9" s="161"/>
      <c r="B9" s="161"/>
      <c r="C9" s="161"/>
      <c r="D9" s="95"/>
      <c r="G9" s="110" t="s">
        <v>42</v>
      </c>
      <c r="H9" s="5"/>
      <c r="M9" s="109" t="s">
        <v>26</v>
      </c>
      <c r="N9" s="109" t="s">
        <v>27</v>
      </c>
      <c r="O9" s="9" t="s">
        <v>63</v>
      </c>
      <c r="P9" s="109" t="s">
        <v>28</v>
      </c>
      <c r="Q9" s="109"/>
      <c r="R9" s="109" t="s">
        <v>25</v>
      </c>
      <c r="S9" s="109" t="s">
        <v>29</v>
      </c>
      <c r="T9" s="109" t="s">
        <v>30</v>
      </c>
      <c r="X9" s="109"/>
      <c r="Y9" s="109"/>
      <c r="Z9" s="109"/>
      <c r="AA9" s="109"/>
    </row>
    <row r="10" spans="1:30" x14ac:dyDescent="0.25">
      <c r="A10" s="110"/>
      <c r="B10" s="110"/>
      <c r="C10" s="110"/>
      <c r="M10" s="117">
        <f>'Fin Stmt'!P55</f>
        <v>0.06</v>
      </c>
      <c r="N10" s="117">
        <f>S10+(T10-S10)*R10</f>
        <v>0.14113999999999999</v>
      </c>
      <c r="O10">
        <f>'Fin Stmt'!P33</f>
        <v>2.5000000000000001E-2</v>
      </c>
      <c r="P10" s="117">
        <f>O10/O6</f>
        <v>0.2</v>
      </c>
      <c r="Q10" s="117"/>
      <c r="R10" s="16">
        <f>'Fin Stmt'!K59</f>
        <v>0.96</v>
      </c>
      <c r="S10" s="117">
        <f>'Fin Stmt'!K58</f>
        <v>2.4500000000000001E-2</v>
      </c>
      <c r="T10" s="117">
        <f>'Fin Stmt'!K57</f>
        <v>0.14599999999999999</v>
      </c>
      <c r="X10" s="16"/>
      <c r="Y10" s="16"/>
      <c r="Z10" s="16"/>
      <c r="AA10" s="16"/>
    </row>
    <row r="11" spans="1:30" ht="30" customHeight="1" x14ac:dyDescent="0.25">
      <c r="A11" s="164" t="s">
        <v>10</v>
      </c>
      <c r="B11" s="164"/>
      <c r="C11" s="164"/>
      <c r="D11" s="5">
        <f>C14/(J14-C14)</f>
        <v>0.3491579507179578</v>
      </c>
      <c r="F11" s="164" t="s">
        <v>11</v>
      </c>
      <c r="G11" s="164"/>
      <c r="H11" s="164"/>
      <c r="I11" s="5">
        <f>D14/L14</f>
        <v>35.079792256846041</v>
      </c>
      <c r="J11" s="5"/>
    </row>
    <row r="12" spans="1:30" x14ac:dyDescent="0.25">
      <c r="G12" s="130"/>
    </row>
    <row r="13" spans="1:30" ht="30" x14ac:dyDescent="0.25">
      <c r="B13" s="9" t="s">
        <v>0</v>
      </c>
      <c r="C13" s="9" t="s">
        <v>6</v>
      </c>
      <c r="D13" s="9" t="s">
        <v>1</v>
      </c>
      <c r="E13" s="9" t="s">
        <v>16</v>
      </c>
      <c r="F13" s="9" t="s">
        <v>2</v>
      </c>
      <c r="G13" s="9" t="s">
        <v>55</v>
      </c>
      <c r="H13" s="9" t="s">
        <v>38</v>
      </c>
      <c r="I13" s="9" t="s">
        <v>3</v>
      </c>
      <c r="J13" s="9" t="s">
        <v>12</v>
      </c>
      <c r="K13" s="9" t="s">
        <v>8</v>
      </c>
      <c r="L13" s="28" t="s">
        <v>14</v>
      </c>
      <c r="M13" s="10" t="s">
        <v>62</v>
      </c>
      <c r="N13" s="9" t="s">
        <v>13</v>
      </c>
      <c r="O13" s="9" t="s">
        <v>7</v>
      </c>
      <c r="P13" s="9"/>
      <c r="Q13" s="9"/>
      <c r="R13" s="9"/>
      <c r="S13" s="9"/>
      <c r="T13" s="9"/>
      <c r="U13" s="9"/>
      <c r="AB13" s="12"/>
    </row>
    <row r="14" spans="1:30" x14ac:dyDescent="0.25">
      <c r="B14" s="3">
        <v>2014</v>
      </c>
      <c r="C14" s="3">
        <f>'Fin Stmt'!K15</f>
        <v>29.544</v>
      </c>
      <c r="D14" s="13">
        <f>'Fin Stmt'!P12</f>
        <v>297.19599999999997</v>
      </c>
      <c r="E14" s="13">
        <f>'Fin Stmt'!P15</f>
        <v>211.46</v>
      </c>
      <c r="F14" s="13">
        <f>'Fin Stmt'!P16+'Fin Stmt'!P17</f>
        <v>57.206000000000003</v>
      </c>
      <c r="G14" s="13">
        <f>'Fin Stmt'!P18</f>
        <v>3.89</v>
      </c>
      <c r="H14" s="23">
        <f>'Fin Stmt'!P12-'Fin Stmt'!P19</f>
        <v>24.639999999999986</v>
      </c>
      <c r="I14" s="13">
        <f>'Fin Stmt'!P24</f>
        <v>4.3600000000000003</v>
      </c>
      <c r="J14" s="3">
        <f>'Fin Stmt'!K63</f>
        <v>114.15900000000001</v>
      </c>
      <c r="K14" s="3">
        <f>(D14-E14-F14-G14)*(1-$D$7)</f>
        <v>16.015999999999966</v>
      </c>
      <c r="L14" s="3">
        <f>('Fin Stmt'!E11-'Fin Stmt'!K10)-('Fin Stmt'!D11-'Fin Stmt'!J10)</f>
        <v>8.4720000000000084</v>
      </c>
      <c r="M14" s="13">
        <f>'Fin Stmt'!E17-'Fin Stmt'!D17+'Fin Stmt'!P18</f>
        <v>6.2469999999999999</v>
      </c>
      <c r="N14" s="13">
        <f>K14+G14-L14-M14</f>
        <v>5.1869999999999585</v>
      </c>
      <c r="O14" s="121">
        <f>K14/J14</f>
        <v>0.14029555269404922</v>
      </c>
      <c r="P14" s="23"/>
      <c r="Q14" s="23"/>
      <c r="R14" s="23"/>
      <c r="S14" s="23"/>
      <c r="T14" s="23"/>
      <c r="AB14" s="24"/>
      <c r="AC14" s="30"/>
      <c r="AD14" s="30"/>
    </row>
    <row r="15" spans="1:30" x14ac:dyDescent="0.25">
      <c r="B15" s="12"/>
      <c r="C15" s="12"/>
      <c r="D15" s="12"/>
      <c r="E15" s="12"/>
      <c r="F15" s="12"/>
      <c r="G15" s="12"/>
      <c r="H15" s="108"/>
      <c r="I15" s="12"/>
      <c r="J15" s="12"/>
      <c r="K15" s="12"/>
      <c r="L15" s="12"/>
      <c r="M15" s="12"/>
      <c r="N15" s="12"/>
      <c r="O15" s="120"/>
      <c r="P15" s="108"/>
      <c r="Q15" s="108"/>
      <c r="R15" s="108"/>
      <c r="S15" s="108"/>
      <c r="T15" s="108"/>
      <c r="AB15" s="108"/>
      <c r="AC15" s="31"/>
      <c r="AD15" s="31"/>
    </row>
    <row r="16" spans="1:30" x14ac:dyDescent="0.25">
      <c r="B16" s="130" t="s">
        <v>4</v>
      </c>
      <c r="C16" s="131"/>
      <c r="D16" s="120">
        <v>8.5999999999999993E-2</v>
      </c>
      <c r="E16" s="120">
        <f>E14/$D$14</f>
        <v>0.71151697869419517</v>
      </c>
      <c r="F16" s="120">
        <f>F14/$D$14</f>
        <v>0.19248576696859987</v>
      </c>
      <c r="G16" s="120">
        <f>G14/$D$14</f>
        <v>1.3089005235602096E-2</v>
      </c>
      <c r="H16" s="117"/>
      <c r="I16" s="120">
        <f>I14/$I$5</f>
        <v>0.16360225140712947</v>
      </c>
      <c r="J16" s="7"/>
      <c r="K16" s="7"/>
      <c r="L16" s="12"/>
      <c r="M16" s="12"/>
      <c r="N16" s="12"/>
      <c r="O16" s="120"/>
      <c r="P16" s="108"/>
      <c r="Q16" s="108"/>
      <c r="R16" s="108"/>
      <c r="S16" s="108"/>
      <c r="T16" s="108"/>
      <c r="AB16" s="108"/>
      <c r="AC16" s="31"/>
      <c r="AD16" s="31"/>
    </row>
    <row r="17" spans="1:32" x14ac:dyDescent="0.25">
      <c r="H17" s="108"/>
      <c r="O17" s="95"/>
      <c r="P17" s="108"/>
      <c r="Q17" s="108"/>
      <c r="R17" s="108"/>
      <c r="S17" s="108"/>
      <c r="T17" s="108"/>
      <c r="AB17" s="108"/>
      <c r="AC17" s="31"/>
      <c r="AD17" s="31"/>
    </row>
    <row r="18" spans="1:32" x14ac:dyDescent="0.25">
      <c r="A18" s="40">
        <v>1</v>
      </c>
      <c r="B18" s="3">
        <f>B14+1</f>
        <v>2015</v>
      </c>
      <c r="C18" s="13">
        <f>($D$11*J14/(1+$D$11))</f>
        <v>29.543999999999997</v>
      </c>
      <c r="D18" s="13">
        <f>D14*(1+$D$5)</f>
        <v>309.08383999999995</v>
      </c>
      <c r="E18" s="13">
        <f t="shared" ref="E18:G23" si="0">E$16*$D18</f>
        <v>219.91839999999999</v>
      </c>
      <c r="F18" s="13">
        <f t="shared" si="0"/>
        <v>59.494239999999998</v>
      </c>
      <c r="G18" s="13">
        <f t="shared" si="0"/>
        <v>4.0456000000000003</v>
      </c>
      <c r="H18" s="23">
        <f>D18-E18-F18-G18</f>
        <v>25.625599999999963</v>
      </c>
      <c r="I18" s="13">
        <f t="shared" ref="I18:I23" si="1">I$16*C18</f>
        <v>4.8334649155722325</v>
      </c>
      <c r="J18" s="13">
        <f>J14+L18+M18</f>
        <v>129.46676000000002</v>
      </c>
      <c r="K18" s="13">
        <f t="shared" ref="K18:K23" si="2">(D18-E18-F18-G18)*(1-$D$7)</f>
        <v>16.656639999999971</v>
      </c>
      <c r="L18" s="13">
        <f>L14*(1+$D$5)</f>
        <v>8.8108800000000098</v>
      </c>
      <c r="M18" s="13">
        <f>M14*(1+$D$5)</f>
        <v>6.49688</v>
      </c>
      <c r="N18" s="13">
        <f>K18+G18-L18-M18</f>
        <v>5.3944799999999615</v>
      </c>
      <c r="O18" s="121">
        <f t="shared" ref="O18:O23" si="3">K18/J18</f>
        <v>0.12865572599484199</v>
      </c>
      <c r="P18" s="16"/>
      <c r="Q18" s="16"/>
      <c r="R18" s="16"/>
      <c r="S18" s="16"/>
      <c r="T18" s="16"/>
      <c r="U18" s="5"/>
      <c r="AB18" s="154"/>
      <c r="AD18" s="52"/>
      <c r="AF18" s="52"/>
    </row>
    <row r="19" spans="1:32" x14ac:dyDescent="0.25">
      <c r="A19" s="40">
        <f>A18+1</f>
        <v>2</v>
      </c>
      <c r="B19" s="3">
        <f t="shared" ref="B19:B23" si="4">B18+1</f>
        <v>2016</v>
      </c>
      <c r="C19" s="13">
        <f>($D$11*J18/(1+$D$11))</f>
        <v>33.505601463222348</v>
      </c>
      <c r="D19" s="13">
        <f t="shared" ref="D19:D23" si="5">D18*(1+$D$5)</f>
        <v>321.44719359999993</v>
      </c>
      <c r="E19" s="13">
        <f t="shared" si="0"/>
        <v>228.71513599999997</v>
      </c>
      <c r="F19" s="13">
        <f t="shared" si="0"/>
        <v>61.874009599999994</v>
      </c>
      <c r="G19" s="13">
        <f t="shared" si="0"/>
        <v>4.2074239999999996</v>
      </c>
      <c r="H19" s="23">
        <f t="shared" ref="H19:H23" si="6">D19-E19-F19-G19</f>
        <v>26.650623999999969</v>
      </c>
      <c r="I19" s="13">
        <f>I$16*C19</f>
        <v>5.4815918341331873</v>
      </c>
      <c r="J19" s="13">
        <f>J18+L19+M19</f>
        <v>145.38683040000001</v>
      </c>
      <c r="K19" s="13">
        <f t="shared" si="2"/>
        <v>17.322905599999974</v>
      </c>
      <c r="L19" s="13">
        <f>L18*(1+$D$5)</f>
        <v>9.1633152000000102</v>
      </c>
      <c r="M19" s="13">
        <f>M18*(1+$D$5)</f>
        <v>6.7567552000000006</v>
      </c>
      <c r="N19" s="13">
        <f t="shared" ref="N19:N23" si="7">K19+G19-L19-M19</f>
        <v>5.6102591999999625</v>
      </c>
      <c r="O19" s="121">
        <f t="shared" si="3"/>
        <v>0.11915044541750992</v>
      </c>
      <c r="P19" s="16"/>
      <c r="Q19" s="16"/>
      <c r="R19" s="16"/>
      <c r="S19" s="16"/>
      <c r="T19" s="16"/>
      <c r="U19" s="5"/>
      <c r="AB19" s="154"/>
      <c r="AD19" s="52"/>
      <c r="AF19" s="52"/>
    </row>
    <row r="20" spans="1:32" x14ac:dyDescent="0.25">
      <c r="A20" s="40">
        <f t="shared" ref="A20:A22" si="8">A19+1</f>
        <v>3</v>
      </c>
      <c r="B20" s="3">
        <f t="shared" si="4"/>
        <v>2017</v>
      </c>
      <c r="C20" s="13">
        <f t="shared" ref="C20:C22" si="9">($D$11*J19/(1+$D$11))</f>
        <v>37.625666984973591</v>
      </c>
      <c r="D20" s="13">
        <f t="shared" si="5"/>
        <v>334.30508134399992</v>
      </c>
      <c r="E20" s="13">
        <f t="shared" si="0"/>
        <v>237.86374143999998</v>
      </c>
      <c r="F20" s="13">
        <f t="shared" si="0"/>
        <v>64.348969983999993</v>
      </c>
      <c r="G20" s="13">
        <f t="shared" si="0"/>
        <v>4.3757209599999998</v>
      </c>
      <c r="H20" s="23">
        <f t="shared" si="6"/>
        <v>27.71664895999994</v>
      </c>
      <c r="I20" s="13">
        <f t="shared" si="1"/>
        <v>6.1556438294365803</v>
      </c>
      <c r="J20" s="13">
        <f>J19+L20+M20</f>
        <v>161.94370361600002</v>
      </c>
      <c r="K20" s="13">
        <f t="shared" si="2"/>
        <v>18.015821823999957</v>
      </c>
      <c r="L20" s="13">
        <f t="shared" ref="L20:M23" si="10">L19*(1+$D$5)</f>
        <v>9.5298478080000102</v>
      </c>
      <c r="M20" s="13">
        <f t="shared" si="10"/>
        <v>7.027025408000001</v>
      </c>
      <c r="N20" s="13">
        <f t="shared" si="7"/>
        <v>5.8346695679999447</v>
      </c>
      <c r="O20" s="121">
        <f t="shared" si="3"/>
        <v>0.11124743612582166</v>
      </c>
      <c r="P20" s="16"/>
      <c r="Q20" s="16"/>
      <c r="R20" s="16"/>
      <c r="S20" s="16"/>
      <c r="T20" s="16"/>
      <c r="U20" s="5"/>
      <c r="AB20" s="154"/>
      <c r="AD20" s="52"/>
      <c r="AF20" s="52"/>
    </row>
    <row r="21" spans="1:32" x14ac:dyDescent="0.25">
      <c r="A21" s="40">
        <f t="shared" si="8"/>
        <v>4</v>
      </c>
      <c r="B21" s="3">
        <f t="shared" si="4"/>
        <v>2018</v>
      </c>
      <c r="C21" s="13">
        <f t="shared" si="9"/>
        <v>41.910535127594883</v>
      </c>
      <c r="D21" s="13">
        <f t="shared" si="5"/>
        <v>347.67728459775992</v>
      </c>
      <c r="E21" s="13">
        <f t="shared" si="0"/>
        <v>247.37829109759997</v>
      </c>
      <c r="F21" s="13">
        <f t="shared" si="0"/>
        <v>66.922928783359993</v>
      </c>
      <c r="G21" s="13">
        <f t="shared" si="0"/>
        <v>4.5507497983999992</v>
      </c>
      <c r="H21" s="23">
        <f t="shared" si="6"/>
        <v>28.825314918399961</v>
      </c>
      <c r="I21" s="13">
        <f t="shared" si="1"/>
        <v>6.856657904552109</v>
      </c>
      <c r="J21" s="13">
        <f>J20+L21+M21</f>
        <v>179.16285176064002</v>
      </c>
      <c r="K21" s="13">
        <f t="shared" si="2"/>
        <v>18.736454696959967</v>
      </c>
      <c r="L21" s="13">
        <f t="shared" si="10"/>
        <v>9.9110417203200107</v>
      </c>
      <c r="M21" s="13">
        <f t="shared" si="10"/>
        <v>7.3081064243200009</v>
      </c>
      <c r="N21" s="13">
        <f t="shared" si="7"/>
        <v>6.0680563507199539</v>
      </c>
      <c r="O21" s="121">
        <f t="shared" si="3"/>
        <v>0.10457778782172827</v>
      </c>
      <c r="P21" s="16"/>
      <c r="Q21" s="16"/>
      <c r="R21" s="16"/>
      <c r="S21" s="16"/>
      <c r="T21" s="16"/>
      <c r="U21" s="5"/>
      <c r="AB21" s="154"/>
      <c r="AD21" s="52"/>
      <c r="AF21" s="52"/>
    </row>
    <row r="22" spans="1:32" x14ac:dyDescent="0.25">
      <c r="A22" s="40">
        <f t="shared" si="8"/>
        <v>5</v>
      </c>
      <c r="B22" s="3">
        <f t="shared" si="4"/>
        <v>2019</v>
      </c>
      <c r="C22" s="13">
        <f t="shared" si="9"/>
        <v>46.366797995921026</v>
      </c>
      <c r="D22" s="13">
        <f t="shared" si="5"/>
        <v>361.58437598167035</v>
      </c>
      <c r="E22" s="13">
        <f t="shared" si="0"/>
        <v>257.27342274150402</v>
      </c>
      <c r="F22" s="13">
        <f t="shared" si="0"/>
        <v>69.5998459346944</v>
      </c>
      <c r="G22" s="13">
        <f t="shared" si="0"/>
        <v>4.732779790336</v>
      </c>
      <c r="H22" s="23">
        <f t="shared" si="6"/>
        <v>29.978327515135927</v>
      </c>
      <c r="I22" s="13">
        <f t="shared" si="1"/>
        <v>7.5857125426722583</v>
      </c>
      <c r="J22" s="13">
        <f>J21+L22+M22</f>
        <v>197.07076583106564</v>
      </c>
      <c r="K22" s="13">
        <f t="shared" si="2"/>
        <v>19.485912884838346</v>
      </c>
      <c r="L22" s="13">
        <f>L21*(1+$D$5)</f>
        <v>10.307483389132811</v>
      </c>
      <c r="M22" s="13">
        <f t="shared" si="10"/>
        <v>7.6004306812928011</v>
      </c>
      <c r="N22" s="13">
        <f t="shared" si="7"/>
        <v>6.3107786047487338</v>
      </c>
      <c r="O22" s="121">
        <f t="shared" si="3"/>
        <v>9.8877744766781864E-2</v>
      </c>
      <c r="P22" s="16"/>
      <c r="Q22" s="16"/>
      <c r="R22" s="16"/>
      <c r="S22" s="16"/>
      <c r="T22" s="16"/>
      <c r="U22" s="5"/>
      <c r="AB22" s="154"/>
      <c r="AD22" s="52"/>
      <c r="AF22" s="52"/>
    </row>
    <row r="23" spans="1:32" ht="18" x14ac:dyDescent="0.35">
      <c r="A23" s="107" t="s">
        <v>187</v>
      </c>
      <c r="B23" s="3">
        <f t="shared" si="4"/>
        <v>2020</v>
      </c>
      <c r="C23" s="13">
        <f>($D$11*J22/(1+$D$11))</f>
        <v>51.001311378980226</v>
      </c>
      <c r="D23" s="13">
        <f t="shared" si="5"/>
        <v>376.0477510209372</v>
      </c>
      <c r="E23" s="13">
        <f t="shared" si="0"/>
        <v>267.56435965116418</v>
      </c>
      <c r="F23" s="13">
        <f t="shared" si="0"/>
        <v>72.383839772082183</v>
      </c>
      <c r="G23" s="13">
        <f t="shared" si="0"/>
        <v>4.9220909819494407</v>
      </c>
      <c r="H23" s="23">
        <f t="shared" si="6"/>
        <v>31.177460615741392</v>
      </c>
      <c r="I23" s="13">
        <f t="shared" si="1"/>
        <v>8.3439293663172158</v>
      </c>
      <c r="J23" s="13">
        <f>J22+L23+M23</f>
        <v>215.69499646430828</v>
      </c>
      <c r="K23" s="13">
        <f t="shared" si="2"/>
        <v>20.265349400231898</v>
      </c>
      <c r="L23" s="13">
        <f t="shared" si="10"/>
        <v>10.719782724698124</v>
      </c>
      <c r="M23" s="13">
        <f t="shared" si="10"/>
        <v>7.9044479085445136</v>
      </c>
      <c r="N23" s="13">
        <f t="shared" si="7"/>
        <v>6.5632097489387018</v>
      </c>
      <c r="O23" s="121">
        <f t="shared" si="3"/>
        <v>9.3953729722169366E-2</v>
      </c>
      <c r="P23" s="4"/>
      <c r="Q23" s="4"/>
      <c r="R23" s="4"/>
      <c r="S23" s="4"/>
      <c r="T23" s="4"/>
      <c r="AB23" s="154"/>
      <c r="AD23" s="52"/>
      <c r="AF23" s="52"/>
    </row>
    <row r="24" spans="1:32" x14ac:dyDescent="0.25">
      <c r="A24" s="40"/>
      <c r="B24" s="3"/>
      <c r="C24" s="13"/>
      <c r="D24" s="13"/>
      <c r="E24" s="13"/>
      <c r="F24" s="13"/>
      <c r="G24" s="13"/>
      <c r="H24" s="13"/>
      <c r="I24" s="13"/>
      <c r="J24" s="13"/>
      <c r="K24" s="13"/>
      <c r="L24" s="13"/>
      <c r="M24" s="13"/>
      <c r="N24" s="13"/>
      <c r="O24" s="13"/>
      <c r="P24" s="4"/>
      <c r="Q24" s="4"/>
      <c r="R24" s="4"/>
      <c r="S24" s="4"/>
      <c r="T24" s="4"/>
      <c r="U24" s="16"/>
      <c r="AB24" s="25"/>
    </row>
    <row r="25" spans="1:32" x14ac:dyDescent="0.25">
      <c r="A25" s="40"/>
      <c r="U25" s="108"/>
      <c r="AB25" s="108"/>
    </row>
    <row r="26" spans="1:32" ht="30" customHeight="1" x14ac:dyDescent="0.25">
      <c r="A26" s="40"/>
      <c r="B26" s="152" t="s">
        <v>33</v>
      </c>
      <c r="C26" s="152"/>
      <c r="D26" s="152"/>
      <c r="E26" s="152"/>
      <c r="F26" s="152"/>
      <c r="G26" s="152"/>
      <c r="H26" s="152"/>
      <c r="I26" s="113"/>
      <c r="J26" s="153" t="s">
        <v>13</v>
      </c>
      <c r="K26" s="153"/>
      <c r="L26" s="153"/>
      <c r="M26" s="113"/>
      <c r="N26" s="159" t="s">
        <v>189</v>
      </c>
      <c r="O26" s="159"/>
      <c r="P26" s="159"/>
      <c r="Q26" s="112"/>
      <c r="R26" s="160" t="s">
        <v>190</v>
      </c>
      <c r="S26" s="160"/>
      <c r="T26" s="160"/>
      <c r="U26" s="113"/>
      <c r="V26" s="158" t="s">
        <v>56</v>
      </c>
      <c r="W26" s="158"/>
      <c r="X26" s="158"/>
      <c r="Y26" s="158"/>
      <c r="Z26" s="158"/>
      <c r="AA26" s="158"/>
      <c r="AB26" s="26"/>
    </row>
    <row r="27" spans="1:32" ht="33" x14ac:dyDescent="0.35">
      <c r="A27" s="40"/>
      <c r="B27" s="20" t="s">
        <v>0</v>
      </c>
      <c r="C27" s="20" t="s">
        <v>12</v>
      </c>
      <c r="D27" s="20" t="s">
        <v>7</v>
      </c>
      <c r="E27" s="20" t="s">
        <v>15</v>
      </c>
      <c r="F27" s="20" t="s">
        <v>37</v>
      </c>
      <c r="G27" s="20" t="s">
        <v>45</v>
      </c>
      <c r="H27" s="20" t="s">
        <v>46</v>
      </c>
      <c r="J27" s="44" t="s">
        <v>13</v>
      </c>
      <c r="K27" s="44" t="s">
        <v>47</v>
      </c>
      <c r="L27" s="44" t="s">
        <v>48</v>
      </c>
      <c r="M27" s="22"/>
      <c r="N27" s="109" t="str">
        <f>J27</f>
        <v>FCF</v>
      </c>
      <c r="O27" s="115" t="s">
        <v>177</v>
      </c>
      <c r="P27" s="115" t="s">
        <v>178</v>
      </c>
      <c r="Q27" s="115"/>
      <c r="R27" s="123" t="str">
        <f>N27</f>
        <v>FCF</v>
      </c>
      <c r="S27" s="124" t="s">
        <v>191</v>
      </c>
      <c r="T27" s="124" t="s">
        <v>192</v>
      </c>
      <c r="V27" s="54" t="s">
        <v>13</v>
      </c>
      <c r="W27" s="54" t="s">
        <v>60</v>
      </c>
      <c r="X27" s="54" t="s">
        <v>61</v>
      </c>
      <c r="Y27" s="54" t="s">
        <v>57</v>
      </c>
      <c r="Z27" s="54" t="s">
        <v>58</v>
      </c>
      <c r="AA27" s="54" t="s">
        <v>59</v>
      </c>
      <c r="AB27" s="27"/>
      <c r="AC27" s="34"/>
      <c r="AD27" s="34"/>
    </row>
    <row r="28" spans="1:32" x14ac:dyDescent="0.25">
      <c r="A28" s="40">
        <v>0</v>
      </c>
      <c r="B28" s="18">
        <f>B14</f>
        <v>2014</v>
      </c>
      <c r="C28" s="18">
        <f>J14</f>
        <v>114.15900000000001</v>
      </c>
      <c r="D28" s="118">
        <f>O14</f>
        <v>0.14029555269404922</v>
      </c>
      <c r="E28" s="118">
        <f>$D$8</f>
        <v>0.10490975889364912</v>
      </c>
      <c r="F28" s="21">
        <f t="shared" ref="F28:F34" si="11">C28*(D28-E28)</f>
        <v>4.0396068344598763</v>
      </c>
      <c r="G28" s="49"/>
      <c r="H28" s="108"/>
      <c r="J28" s="45">
        <f>N14</f>
        <v>5.1869999999999585</v>
      </c>
      <c r="K28" s="46"/>
      <c r="L28" s="46"/>
      <c r="N28">
        <f t="shared" ref="N28:O34" si="12">J28</f>
        <v>5.1869999999999585</v>
      </c>
      <c r="R28" s="125">
        <f t="shared" ref="R28:R34" si="13">N28</f>
        <v>5.1869999999999585</v>
      </c>
      <c r="S28" s="125"/>
      <c r="T28" s="125"/>
      <c r="V28" s="55">
        <f>N14</f>
        <v>5.1869999999999585</v>
      </c>
      <c r="W28" s="31"/>
      <c r="X28" s="31"/>
      <c r="Y28" s="55">
        <f>I14*$D$7</f>
        <v>1.5260000000000009</v>
      </c>
      <c r="Z28" s="31"/>
      <c r="AA28" s="31"/>
      <c r="AB28" s="11"/>
      <c r="AC28" s="37"/>
      <c r="AD28" s="35"/>
    </row>
    <row r="29" spans="1:32" x14ac:dyDescent="0.25">
      <c r="A29" s="40">
        <v>1</v>
      </c>
      <c r="B29" s="18">
        <f t="shared" ref="B29:B34" si="14">B18</f>
        <v>2015</v>
      </c>
      <c r="C29" s="29">
        <f t="shared" ref="C29:C34" si="15">J18</f>
        <v>129.46676000000002</v>
      </c>
      <c r="D29" s="118">
        <f t="shared" ref="D29:D34" si="16">O18</f>
        <v>0.12865572599484199</v>
      </c>
      <c r="E29" s="118">
        <f>$D$8</f>
        <v>0.10490975889364912</v>
      </c>
      <c r="F29" s="21">
        <f t="shared" si="11"/>
        <v>3.0743134236580332</v>
      </c>
      <c r="G29" s="119">
        <f>F29/((1+$D$8)^A29)</f>
        <v>2.7824113226553058</v>
      </c>
      <c r="H29" s="119">
        <f>G29</f>
        <v>2.7824113226553058</v>
      </c>
      <c r="J29" s="45">
        <f t="shared" ref="J29:J34" si="17">N18</f>
        <v>5.3944799999999615</v>
      </c>
      <c r="K29" s="47">
        <f>J29/((1+$D$8)^A29)</f>
        <v>4.8822810700861918</v>
      </c>
      <c r="L29" s="47">
        <f>K29</f>
        <v>4.8822810700861918</v>
      </c>
      <c r="N29" s="52">
        <f t="shared" si="12"/>
        <v>5.3944799999999615</v>
      </c>
      <c r="O29" s="52">
        <f t="shared" si="12"/>
        <v>4.8822810700861918</v>
      </c>
      <c r="P29" s="52">
        <f>L29</f>
        <v>4.8822810700861918</v>
      </c>
      <c r="Q29" s="52"/>
      <c r="R29" s="126">
        <f t="shared" si="13"/>
        <v>5.3944799999999615</v>
      </c>
      <c r="S29" s="126">
        <f t="shared" ref="S29:S33" si="18">O29</f>
        <v>4.8822810700861918</v>
      </c>
      <c r="T29" s="126">
        <f>P29</f>
        <v>4.8822810700861918</v>
      </c>
      <c r="U29" s="11"/>
      <c r="V29" s="55">
        <f t="shared" ref="V29:V34" si="19">N18</f>
        <v>5.3944799999999615</v>
      </c>
      <c r="W29" s="55">
        <f>N18/((1+$H$8)^A18)</f>
        <v>4.8822810700861918</v>
      </c>
      <c r="X29" s="55">
        <f>W29</f>
        <v>4.8822810700861918</v>
      </c>
      <c r="Y29" s="55">
        <f t="shared" ref="Y29:Y34" si="20">I18*$D$7</f>
        <v>1.6917127204502824</v>
      </c>
      <c r="Z29" s="32">
        <f>Y29/((1+$J$8)^A18)</f>
        <v>1.531086775941052</v>
      </c>
      <c r="AA29" s="32">
        <f>Z29</f>
        <v>1.531086775941052</v>
      </c>
      <c r="AC29" s="37"/>
      <c r="AD29" s="35"/>
    </row>
    <row r="30" spans="1:32" x14ac:dyDescent="0.25">
      <c r="A30" s="40">
        <v>2</v>
      </c>
      <c r="B30" s="18">
        <f t="shared" si="14"/>
        <v>2016</v>
      </c>
      <c r="C30" s="29">
        <f t="shared" si="15"/>
        <v>145.38683040000001</v>
      </c>
      <c r="D30" s="118">
        <f t="shared" si="16"/>
        <v>0.11915044541750992</v>
      </c>
      <c r="E30" s="118">
        <f t="shared" ref="E30:E34" si="21">$D$8</f>
        <v>0.10490975889364912</v>
      </c>
      <c r="F30" s="21">
        <f t="shared" si="11"/>
        <v>2.0704082764241165</v>
      </c>
      <c r="G30" s="119">
        <f>F30/((1+$D$8)^A30)</f>
        <v>1.6959083413025813</v>
      </c>
      <c r="H30" s="119">
        <f>H29+G30</f>
        <v>4.4783196639578868</v>
      </c>
      <c r="J30" s="45">
        <f t="shared" si="17"/>
        <v>5.6102591999999625</v>
      </c>
      <c r="K30" s="47">
        <f>J30/((1+$D$8)^A30)</f>
        <v>4.5954633598076242</v>
      </c>
      <c r="L30" s="47">
        <f>L29+K30</f>
        <v>9.477744429893816</v>
      </c>
      <c r="N30" s="52">
        <f t="shared" si="12"/>
        <v>5.6102591999999625</v>
      </c>
      <c r="O30" s="52">
        <f t="shared" si="12"/>
        <v>4.5954633598076242</v>
      </c>
      <c r="P30" s="52">
        <f>L30</f>
        <v>9.477744429893816</v>
      </c>
      <c r="Q30" s="52"/>
      <c r="R30" s="126">
        <f t="shared" si="13"/>
        <v>5.6102591999999625</v>
      </c>
      <c r="S30" s="126">
        <f t="shared" si="18"/>
        <v>4.5954633598076242</v>
      </c>
      <c r="T30" s="126">
        <f>P30</f>
        <v>9.477744429893816</v>
      </c>
      <c r="U30" s="27"/>
      <c r="V30" s="55">
        <f t="shared" si="19"/>
        <v>5.6102591999999625</v>
      </c>
      <c r="W30" s="55">
        <f>N19/((1+$H$8)^A19)</f>
        <v>4.5954633598076242</v>
      </c>
      <c r="X30" s="55">
        <f>X29+W30</f>
        <v>9.477744429893816</v>
      </c>
      <c r="Y30" s="55">
        <f t="shared" si="20"/>
        <v>1.9185571419466168</v>
      </c>
      <c r="Z30" s="32">
        <f>Y30/((1+$J$8)^A19)</f>
        <v>1.5715243690546368</v>
      </c>
      <c r="AA30" s="32">
        <f>AA29+Z30</f>
        <v>3.1026111449956888</v>
      </c>
      <c r="AC30" s="37"/>
      <c r="AD30" s="36"/>
    </row>
    <row r="31" spans="1:32" x14ac:dyDescent="0.25">
      <c r="A31" s="40">
        <v>3</v>
      </c>
      <c r="B31" s="18">
        <f t="shared" si="14"/>
        <v>2017</v>
      </c>
      <c r="C31" s="29">
        <f t="shared" si="15"/>
        <v>161.94370361600002</v>
      </c>
      <c r="D31" s="118">
        <f t="shared" si="16"/>
        <v>0.11124743612582166</v>
      </c>
      <c r="E31" s="118">
        <f t="shared" si="21"/>
        <v>0.10490975889364912</v>
      </c>
      <c r="F31" s="21">
        <f t="shared" si="11"/>
        <v>1.026346923300822</v>
      </c>
      <c r="G31" s="119">
        <f>F31/((1+$D$8)^A31)</f>
        <v>0.76087577396951478</v>
      </c>
      <c r="H31" s="119">
        <f t="shared" ref="H31:H33" si="22">H30+G31</f>
        <v>5.2391954379274015</v>
      </c>
      <c r="J31" s="45">
        <f t="shared" si="17"/>
        <v>5.8346695679999447</v>
      </c>
      <c r="K31" s="47">
        <f>J31/((1+$D$8)^A31)</f>
        <v>4.3254952322852418</v>
      </c>
      <c r="L31" s="47">
        <f>L30+K31</f>
        <v>13.803239662179058</v>
      </c>
      <c r="N31" s="52">
        <f t="shared" si="12"/>
        <v>5.8346695679999447</v>
      </c>
      <c r="O31" s="52">
        <f t="shared" si="12"/>
        <v>4.3254952322852418</v>
      </c>
      <c r="P31" s="52">
        <f>L31</f>
        <v>13.803239662179058</v>
      </c>
      <c r="Q31" s="52"/>
      <c r="R31" s="126">
        <f t="shared" si="13"/>
        <v>5.8346695679999447</v>
      </c>
      <c r="S31" s="126">
        <f t="shared" si="18"/>
        <v>4.3254952322852418</v>
      </c>
      <c r="T31" s="126">
        <f>P31</f>
        <v>13.803239662179058</v>
      </c>
      <c r="U31" s="39"/>
      <c r="V31" s="55">
        <f t="shared" si="19"/>
        <v>5.8346695679999447</v>
      </c>
      <c r="W31" s="55">
        <f>N20/((1+$H$8)^A20)</f>
        <v>4.3254952322852418</v>
      </c>
      <c r="X31" s="55">
        <f>X30+W31</f>
        <v>13.803239662179058</v>
      </c>
      <c r="Y31" s="55">
        <f t="shared" si="20"/>
        <v>2.1544753403028043</v>
      </c>
      <c r="Z31" s="32">
        <f>Y31/((1+$J$8)^A20)</f>
        <v>1.5972066119505044</v>
      </c>
      <c r="AA31" s="32">
        <f t="shared" ref="AA31:AA33" si="23">AA30+Z31</f>
        <v>4.6998177569461932</v>
      </c>
    </row>
    <row r="32" spans="1:32" x14ac:dyDescent="0.25">
      <c r="A32" s="40">
        <v>4</v>
      </c>
      <c r="B32" s="18">
        <f t="shared" si="14"/>
        <v>2018</v>
      </c>
      <c r="C32" s="29">
        <f t="shared" si="15"/>
        <v>179.16285176064002</v>
      </c>
      <c r="D32" s="118">
        <f t="shared" si="16"/>
        <v>0.10457778782172827</v>
      </c>
      <c r="E32" s="118">
        <f t="shared" si="21"/>
        <v>0.10490975889364912</v>
      </c>
      <c r="F32" s="21">
        <f t="shared" si="11"/>
        <v>-5.9476883947375055E-2</v>
      </c>
      <c r="G32" s="119">
        <f>F32/((1+$D$8)^A32)</f>
        <v>-3.990625466280389E-2</v>
      </c>
      <c r="H32" s="119">
        <f t="shared" si="22"/>
        <v>5.1992891832645975</v>
      </c>
      <c r="J32" s="45">
        <f t="shared" si="17"/>
        <v>6.0680563507199539</v>
      </c>
      <c r="K32" s="47">
        <f>J32/((1+$D$8)^A32)</f>
        <v>4.0713868307951611</v>
      </c>
      <c r="L32" s="47">
        <f>L31+K32</f>
        <v>17.874626492974219</v>
      </c>
      <c r="N32" s="52">
        <f t="shared" si="12"/>
        <v>6.0680563507199539</v>
      </c>
      <c r="O32" s="52">
        <f t="shared" si="12"/>
        <v>4.0713868307951611</v>
      </c>
      <c r="P32" s="52">
        <f>L32</f>
        <v>17.874626492974219</v>
      </c>
      <c r="Q32" s="52"/>
      <c r="R32" s="126">
        <f t="shared" si="13"/>
        <v>6.0680563507199539</v>
      </c>
      <c r="S32" s="126">
        <f t="shared" si="18"/>
        <v>4.0713868307951611</v>
      </c>
      <c r="T32" s="126">
        <f>P32</f>
        <v>17.874626492974219</v>
      </c>
      <c r="V32" s="55">
        <f t="shared" si="19"/>
        <v>6.0680563507199539</v>
      </c>
      <c r="W32" s="55">
        <f>N21/((1+$H$8)^A21)</f>
        <v>4.0713868307951611</v>
      </c>
      <c r="X32" s="55">
        <f>X31+W32</f>
        <v>17.874626492974219</v>
      </c>
      <c r="Y32" s="55">
        <f t="shared" si="20"/>
        <v>2.3998302665932396</v>
      </c>
      <c r="Z32" s="32">
        <f>Y32/((1+$J$8)^A21)</f>
        <v>1.6101757760361115</v>
      </c>
      <c r="AA32" s="32">
        <f t="shared" si="23"/>
        <v>6.3099935329823049</v>
      </c>
    </row>
    <row r="33" spans="1:27" x14ac:dyDescent="0.25">
      <c r="A33" s="40">
        <v>5</v>
      </c>
      <c r="B33" s="18">
        <f t="shared" si="14"/>
        <v>2019</v>
      </c>
      <c r="C33" s="29">
        <f t="shared" si="15"/>
        <v>197.07076583106564</v>
      </c>
      <c r="D33" s="118">
        <f t="shared" si="16"/>
        <v>9.8877744766781864E-2</v>
      </c>
      <c r="E33" s="118">
        <f t="shared" si="21"/>
        <v>0.10490975889364912</v>
      </c>
      <c r="F33" s="21">
        <f t="shared" si="11"/>
        <v>-1.1887336434855367</v>
      </c>
      <c r="G33" s="119">
        <f>F33/((1+$D$8)^A33)</f>
        <v>-0.72185589457140298</v>
      </c>
      <c r="H33" s="119">
        <f t="shared" si="22"/>
        <v>4.4774332886931942</v>
      </c>
      <c r="J33" s="45">
        <f t="shared" si="17"/>
        <v>6.3107786047487338</v>
      </c>
      <c r="K33" s="47">
        <f>J33/((1+$D$8)^A33)</f>
        <v>3.8322064493906907</v>
      </c>
      <c r="L33" s="47">
        <f>L32+K33</f>
        <v>21.706832942364908</v>
      </c>
      <c r="N33" s="52">
        <f t="shared" si="12"/>
        <v>6.3107786047487338</v>
      </c>
      <c r="O33" s="52">
        <f t="shared" si="12"/>
        <v>3.8322064493906907</v>
      </c>
      <c r="P33" s="52">
        <f>L33</f>
        <v>21.706832942364908</v>
      </c>
      <c r="Q33" s="52"/>
      <c r="R33" s="126">
        <f t="shared" si="13"/>
        <v>6.3107786047487338</v>
      </c>
      <c r="S33" s="126">
        <f t="shared" si="18"/>
        <v>3.8322064493906907</v>
      </c>
      <c r="T33" s="126">
        <f>P33</f>
        <v>21.706832942364908</v>
      </c>
      <c r="V33" s="55">
        <f t="shared" si="19"/>
        <v>6.3107786047487338</v>
      </c>
      <c r="W33" s="55">
        <f>N22/((1+$H$8)^A22)</f>
        <v>3.8322064493906907</v>
      </c>
      <c r="X33" s="55">
        <f>X32+W33</f>
        <v>21.706832942364908</v>
      </c>
      <c r="Y33" s="55">
        <f t="shared" si="20"/>
        <v>2.6549993899352917</v>
      </c>
      <c r="Z33" s="32">
        <f>Y33/((1+$J$8)^A22)</f>
        <v>1.6122425492129075</v>
      </c>
      <c r="AA33" s="32">
        <f t="shared" si="23"/>
        <v>7.9222360821952122</v>
      </c>
    </row>
    <row r="34" spans="1:27" ht="18" x14ac:dyDescent="0.35">
      <c r="A34" s="107" t="s">
        <v>187</v>
      </c>
      <c r="B34" s="18">
        <f t="shared" si="14"/>
        <v>2020</v>
      </c>
      <c r="C34" s="29">
        <f t="shared" si="15"/>
        <v>215.69499646430828</v>
      </c>
      <c r="D34" s="118">
        <f t="shared" si="16"/>
        <v>9.3953729722169366E-2</v>
      </c>
      <c r="E34" s="118">
        <f t="shared" si="21"/>
        <v>0.10490975889364912</v>
      </c>
      <c r="F34" s="21">
        <f t="shared" si="11"/>
        <v>-2.3631606734051838</v>
      </c>
      <c r="G34" s="19"/>
      <c r="J34" s="45">
        <f t="shared" si="17"/>
        <v>6.5632097489387018</v>
      </c>
      <c r="K34" s="46"/>
      <c r="L34" s="46"/>
      <c r="N34" s="52">
        <f t="shared" si="12"/>
        <v>6.5632097489387018</v>
      </c>
      <c r="O34" s="52"/>
      <c r="P34" s="52"/>
      <c r="Q34" s="52"/>
      <c r="R34" s="126">
        <f t="shared" si="13"/>
        <v>6.5632097489387018</v>
      </c>
      <c r="S34" s="126"/>
      <c r="T34" s="126"/>
      <c r="V34" s="55">
        <f t="shared" si="19"/>
        <v>6.5632097489387018</v>
      </c>
      <c r="W34" s="32"/>
      <c r="X34" s="32"/>
      <c r="Y34" s="55">
        <f t="shared" si="20"/>
        <v>2.920375278211027</v>
      </c>
      <c r="Z34" s="32"/>
      <c r="AA34" s="32"/>
    </row>
    <row r="35" spans="1:27" x14ac:dyDescent="0.25">
      <c r="B35" s="18"/>
      <c r="C35" s="29"/>
      <c r="D35" s="21"/>
      <c r="E35" s="21"/>
      <c r="F35" s="21"/>
      <c r="G35" s="19"/>
      <c r="J35" s="45"/>
      <c r="K35" s="46"/>
      <c r="L35" s="46"/>
      <c r="N35" s="52"/>
      <c r="O35" s="52"/>
      <c r="P35" s="52"/>
      <c r="Q35" s="52"/>
      <c r="R35" s="126"/>
      <c r="S35" s="126"/>
      <c r="T35" s="126"/>
      <c r="V35" s="55"/>
      <c r="W35" s="32"/>
      <c r="X35" s="32"/>
      <c r="Y35" s="55"/>
      <c r="Z35" s="32"/>
      <c r="AA35" s="32"/>
    </row>
    <row r="36" spans="1:27" ht="18" x14ac:dyDescent="0.25">
      <c r="B36" s="18"/>
      <c r="C36" s="17"/>
      <c r="D36" s="21"/>
      <c r="E36" s="21"/>
      <c r="F36" s="18"/>
      <c r="G36" s="18"/>
      <c r="J36" s="46"/>
      <c r="K36" s="46"/>
      <c r="L36" s="46"/>
      <c r="R36" s="125"/>
      <c r="S36" s="125"/>
      <c r="T36" s="125"/>
      <c r="V36" s="33"/>
      <c r="W36" s="34"/>
      <c r="X36" s="114" t="s">
        <v>31</v>
      </c>
      <c r="Y36" s="114"/>
      <c r="Z36" s="114"/>
      <c r="AA36" s="114" t="s">
        <v>32</v>
      </c>
    </row>
    <row r="37" spans="1:27" ht="18" x14ac:dyDescent="0.35">
      <c r="B37" s="18"/>
      <c r="C37" s="17"/>
      <c r="D37" s="21"/>
      <c r="E37" s="21"/>
      <c r="G37" s="38" t="s">
        <v>64</v>
      </c>
      <c r="H37" s="50">
        <f>C28</f>
        <v>114.15900000000001</v>
      </c>
      <c r="J37" s="46"/>
      <c r="K37" s="51" t="s">
        <v>47</v>
      </c>
      <c r="L37" s="47">
        <f>L33</f>
        <v>21.706832942364908</v>
      </c>
      <c r="O37" s="40" t="s">
        <v>34</v>
      </c>
      <c r="P37" s="26">
        <f>L37</f>
        <v>21.706832942364908</v>
      </c>
      <c r="Q37" s="26"/>
      <c r="R37" s="127"/>
      <c r="S37" s="128" t="s">
        <v>193</v>
      </c>
      <c r="T37" s="127">
        <f>L37</f>
        <v>21.706832942364908</v>
      </c>
      <c r="V37" s="34"/>
      <c r="W37" s="37" t="s">
        <v>60</v>
      </c>
      <c r="X37" s="32">
        <f>X33</f>
        <v>21.706832942364908</v>
      </c>
      <c r="Y37" s="32"/>
      <c r="Z37" s="37" t="s">
        <v>182</v>
      </c>
      <c r="AA37" s="32">
        <f>AA33</f>
        <v>7.9222360821952122</v>
      </c>
    </row>
    <row r="38" spans="1:27" ht="18" x14ac:dyDescent="0.35">
      <c r="G38" s="38" t="s">
        <v>35</v>
      </c>
      <c r="H38" s="50">
        <f>H33</f>
        <v>4.4774332886931942</v>
      </c>
      <c r="J38" s="46"/>
      <c r="K38" s="51" t="s">
        <v>52</v>
      </c>
      <c r="L38" s="47">
        <f>(J34)/(D8-D5)</f>
        <v>101.11283512379305</v>
      </c>
      <c r="O38" s="42" t="s">
        <v>39</v>
      </c>
      <c r="P38" s="26">
        <f>N23/(D8-D5)</f>
        <v>101.11283512379305</v>
      </c>
      <c r="Q38" s="26"/>
      <c r="R38" s="127"/>
      <c r="S38" s="129" t="s">
        <v>39</v>
      </c>
      <c r="T38" s="127">
        <f>(K23*(1-(D5/O23)))/(D8-D5)</f>
        <v>179.28813386484796</v>
      </c>
      <c r="V38" s="113"/>
      <c r="W38" s="37" t="s">
        <v>179</v>
      </c>
      <c r="X38" s="32">
        <f>(V34)/(H8-D5)</f>
        <v>101.11283512379305</v>
      </c>
      <c r="Y38" s="32"/>
      <c r="Z38" s="37" t="s">
        <v>183</v>
      </c>
      <c r="AA38" s="32">
        <f>(Y34)/(J8-D5)</f>
        <v>44.991312985708255</v>
      </c>
    </row>
    <row r="39" spans="1:27" ht="18" x14ac:dyDescent="0.35">
      <c r="G39" s="38" t="s">
        <v>49</v>
      </c>
      <c r="H39" s="50">
        <f>(C33*(D34-D8))/(D8-D5)</f>
        <v>-33.263304256430722</v>
      </c>
      <c r="J39" s="46"/>
      <c r="K39" s="51" t="s">
        <v>53</v>
      </c>
      <c r="L39" s="47">
        <f>L38/((1+D8)^A33)</f>
        <v>61.400547087169628</v>
      </c>
      <c r="O39" s="40" t="s">
        <v>41</v>
      </c>
      <c r="P39" s="26">
        <f>P38/((1+D8)^A22)</f>
        <v>61.400547087169628</v>
      </c>
      <c r="Q39" s="26"/>
      <c r="R39" s="127"/>
      <c r="S39" s="128" t="s">
        <v>194</v>
      </c>
      <c r="T39" s="127">
        <f>T38/((1+D8)^A22)</f>
        <v>108.87232557629041</v>
      </c>
      <c r="W39" s="37" t="s">
        <v>180</v>
      </c>
      <c r="X39" s="32">
        <f>X38/((1+H8)^A22)</f>
        <v>61.400547087169628</v>
      </c>
      <c r="Y39" s="32"/>
      <c r="Z39" s="37" t="s">
        <v>184</v>
      </c>
      <c r="AA39" s="32">
        <f>AA38/((1+J8)^A22)</f>
        <v>27.320876010552286</v>
      </c>
    </row>
    <row r="40" spans="1:27" ht="18" x14ac:dyDescent="0.35">
      <c r="C40" s="1"/>
      <c r="D40" s="5"/>
      <c r="E40" s="5"/>
      <c r="G40" s="38" t="s">
        <v>50</v>
      </c>
      <c r="H40" s="50">
        <f>H39/((1+E34)^A33)</f>
        <v>-20.199068464169954</v>
      </c>
      <c r="J40" s="48"/>
      <c r="K40" s="51" t="s">
        <v>54</v>
      </c>
      <c r="L40" s="47">
        <f>L37+L39</f>
        <v>83.107380029534539</v>
      </c>
      <c r="O40" s="40" t="s">
        <v>40</v>
      </c>
      <c r="P40" s="26">
        <f>P39+P37</f>
        <v>83.107380029534539</v>
      </c>
      <c r="Q40" s="26"/>
      <c r="R40" s="127"/>
      <c r="S40" s="128" t="s">
        <v>40</v>
      </c>
      <c r="T40" s="127">
        <f>T39+T37</f>
        <v>130.5791585186553</v>
      </c>
      <c r="W40" s="37" t="s">
        <v>181</v>
      </c>
      <c r="X40" s="32">
        <f>X37+X39</f>
        <v>83.107380029534539</v>
      </c>
      <c r="Y40" s="32"/>
      <c r="Z40" s="37" t="s">
        <v>185</v>
      </c>
      <c r="AA40" s="32">
        <f>AA37+AA39</f>
        <v>35.243112092747495</v>
      </c>
    </row>
    <row r="41" spans="1:27" ht="18" x14ac:dyDescent="0.35">
      <c r="G41" s="38" t="s">
        <v>51</v>
      </c>
      <c r="H41" s="50">
        <f>H38+H40+H37</f>
        <v>98.437364824523243</v>
      </c>
      <c r="W41" s="132" t="s">
        <v>186</v>
      </c>
      <c r="X41" s="55">
        <f>X40+AA40</f>
        <v>118.35049212228203</v>
      </c>
    </row>
    <row r="44" spans="1:27" x14ac:dyDescent="0.25">
      <c r="W44" s="111"/>
    </row>
    <row r="45" spans="1:27" x14ac:dyDescent="0.25">
      <c r="H45" s="26"/>
    </row>
    <row r="46" spans="1:27" x14ac:dyDescent="0.25">
      <c r="H46" s="26"/>
    </row>
    <row r="47" spans="1:27" x14ac:dyDescent="0.25">
      <c r="H47" s="26"/>
    </row>
  </sheetData>
  <mergeCells count="16">
    <mergeCell ref="A8:C8"/>
    <mergeCell ref="A9:C9"/>
    <mergeCell ref="A11:C11"/>
    <mergeCell ref="F11:H11"/>
    <mergeCell ref="AB18:AB23"/>
    <mergeCell ref="B26:H26"/>
    <mergeCell ref="J26:L26"/>
    <mergeCell ref="V26:AA26"/>
    <mergeCell ref="N26:P26"/>
    <mergeCell ref="R26:T26"/>
    <mergeCell ref="A7:C7"/>
    <mergeCell ref="A1:AD1"/>
    <mergeCell ref="A2:AD2"/>
    <mergeCell ref="A5:C5"/>
    <mergeCell ref="F5:H5"/>
    <mergeCell ref="A6:C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80" zoomScaleNormal="80" workbookViewId="0">
      <selection activeCell="S5" sqref="S5"/>
    </sheetView>
  </sheetViews>
  <sheetFormatPr defaultRowHeight="15" x14ac:dyDescent="0.25"/>
  <cols>
    <col min="5" max="5" width="11.5703125" bestFit="1" customWidth="1"/>
    <col min="6" max="8" width="10.7109375" customWidth="1"/>
    <col min="9" max="9" width="8.7109375" customWidth="1"/>
    <col min="10" max="10" width="10.5703125" bestFit="1" customWidth="1"/>
    <col min="11" max="11" width="10.5703125" customWidth="1"/>
    <col min="14" max="16" width="9.5703125" bestFit="1" customWidth="1"/>
    <col min="17" max="20" width="9.5703125" customWidth="1"/>
    <col min="21" max="21" width="9.5703125" bestFit="1" customWidth="1"/>
    <col min="22" max="27" width="12.7109375" customWidth="1"/>
    <col min="28" max="28" width="4.7109375" customWidth="1"/>
    <col min="29" max="30" width="10.5703125" customWidth="1"/>
  </cols>
  <sheetData>
    <row r="1" spans="1:30" x14ac:dyDescent="0.25">
      <c r="A1" s="139" t="s">
        <v>176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30" x14ac:dyDescent="0.25">
      <c r="A2" s="139" t="s">
        <v>36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row>
    <row r="3" spans="1:30" x14ac:dyDescent="0.2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x14ac:dyDescent="0.25">
      <c r="I4" s="130">
        <v>2013</v>
      </c>
      <c r="J4" s="130">
        <v>2014</v>
      </c>
    </row>
    <row r="5" spans="1:30" ht="18" x14ac:dyDescent="0.35">
      <c r="A5" s="163" t="s">
        <v>198</v>
      </c>
      <c r="B5" s="162"/>
      <c r="C5" s="162"/>
      <c r="D5" s="95">
        <v>0.04</v>
      </c>
      <c r="F5" s="162" t="s">
        <v>5</v>
      </c>
      <c r="G5" s="162"/>
      <c r="H5" s="162"/>
      <c r="I5">
        <f>'Fin Stmt'!J15</f>
        <v>26.65</v>
      </c>
      <c r="J5">
        <f>'Fin Stmt'!K15</f>
        <v>29.544</v>
      </c>
      <c r="M5" s="109"/>
      <c r="N5" s="109"/>
      <c r="O5" s="109"/>
      <c r="P5" s="109"/>
      <c r="Q5" s="109"/>
      <c r="R5" s="108"/>
      <c r="S5" s="109"/>
      <c r="T5" s="109"/>
      <c r="X5" s="109"/>
      <c r="Y5" s="109"/>
      <c r="Z5" s="109"/>
      <c r="AA5" s="109"/>
    </row>
    <row r="6" spans="1:30" x14ac:dyDescent="0.25">
      <c r="A6" s="163" t="s">
        <v>199</v>
      </c>
      <c r="B6" s="162"/>
      <c r="C6" s="162"/>
      <c r="D6" s="95">
        <f>(Y34-Y33)/Y33</f>
        <v>9.9953276555066597E-2</v>
      </c>
      <c r="M6" s="108"/>
      <c r="N6" s="108"/>
      <c r="O6" s="108"/>
      <c r="P6" s="108"/>
      <c r="Q6" s="108"/>
      <c r="R6" s="108"/>
      <c r="S6" s="117"/>
      <c r="T6" s="16"/>
      <c r="X6" s="16"/>
      <c r="Y6" s="16"/>
      <c r="Z6" s="16"/>
      <c r="AA6" s="16"/>
    </row>
    <row r="7" spans="1:30" ht="18" x14ac:dyDescent="0.35">
      <c r="A7" s="162" t="s">
        <v>9</v>
      </c>
      <c r="B7" s="162"/>
      <c r="C7" s="162"/>
      <c r="D7" s="95">
        <f>'Fin Stmt'!P37</f>
        <v>0.3500000000000002</v>
      </c>
      <c r="G7" s="130" t="s">
        <v>200</v>
      </c>
      <c r="M7" s="109"/>
      <c r="N7" s="109"/>
      <c r="O7" s="109"/>
      <c r="P7" s="108"/>
      <c r="Q7" s="108"/>
      <c r="R7" s="108"/>
      <c r="S7" s="108"/>
      <c r="T7" s="108"/>
      <c r="X7" s="108"/>
      <c r="Y7" s="108"/>
      <c r="Z7" s="108"/>
      <c r="AA7" s="108"/>
    </row>
    <row r="8" spans="1:30" ht="18" x14ac:dyDescent="0.35">
      <c r="A8" s="162" t="s">
        <v>188</v>
      </c>
      <c r="B8" s="162"/>
      <c r="C8" s="162"/>
      <c r="D8" s="116">
        <v>0.18</v>
      </c>
      <c r="E8" s="8"/>
      <c r="F8" s="8"/>
      <c r="G8" s="110" t="s">
        <v>43</v>
      </c>
      <c r="H8" s="95">
        <f>D8</f>
        <v>0.18</v>
      </c>
      <c r="I8" s="110" t="s">
        <v>44</v>
      </c>
      <c r="J8" s="95">
        <f>H8</f>
        <v>0.18</v>
      </c>
      <c r="M8" s="108"/>
      <c r="N8" s="108"/>
      <c r="O8" s="108"/>
      <c r="P8" s="108"/>
      <c r="Q8" s="108"/>
      <c r="R8" s="108"/>
      <c r="S8" s="108"/>
      <c r="T8" s="108"/>
      <c r="X8" s="108"/>
      <c r="Y8" s="108"/>
      <c r="Z8" s="108"/>
      <c r="AA8" s="108"/>
    </row>
    <row r="9" spans="1:30" ht="18" x14ac:dyDescent="0.35">
      <c r="A9" s="161"/>
      <c r="B9" s="161"/>
      <c r="C9" s="161"/>
      <c r="D9" s="95"/>
      <c r="G9" s="110" t="s">
        <v>42</v>
      </c>
      <c r="H9" s="5"/>
      <c r="M9" s="109"/>
      <c r="N9" s="109"/>
      <c r="O9" s="9"/>
      <c r="P9" s="109"/>
      <c r="Q9" s="109"/>
      <c r="R9" s="109"/>
      <c r="S9" s="109"/>
      <c r="T9" s="109"/>
      <c r="X9" s="109"/>
      <c r="Y9" s="109"/>
      <c r="Z9" s="109"/>
      <c r="AA9" s="109"/>
    </row>
    <row r="10" spans="1:30" x14ac:dyDescent="0.25">
      <c r="A10" s="110"/>
      <c r="B10" s="110"/>
      <c r="C10" s="110"/>
      <c r="M10" s="117"/>
      <c r="N10" s="117"/>
      <c r="P10" s="117"/>
      <c r="Q10" s="117"/>
      <c r="R10" s="16"/>
      <c r="S10" s="117"/>
      <c r="T10" s="117"/>
      <c r="X10" s="16"/>
      <c r="Y10" s="16"/>
      <c r="Z10" s="16"/>
      <c r="AA10" s="16"/>
    </row>
    <row r="11" spans="1:30" ht="30" customHeight="1" x14ac:dyDescent="0.25">
      <c r="A11" s="164" t="s">
        <v>10</v>
      </c>
      <c r="B11" s="164"/>
      <c r="C11" s="164"/>
      <c r="D11" s="5">
        <f>C14/(J14-C14)</f>
        <v>0.3491579507179578</v>
      </c>
      <c r="F11" s="164" t="s">
        <v>11</v>
      </c>
      <c r="G11" s="164"/>
      <c r="H11" s="164"/>
      <c r="I11" s="5">
        <f>D14/L14</f>
        <v>35.079792256846041</v>
      </c>
      <c r="J11" s="5"/>
    </row>
    <row r="12" spans="1:30" x14ac:dyDescent="0.25">
      <c r="G12" s="130"/>
    </row>
    <row r="13" spans="1:30" ht="30" x14ac:dyDescent="0.25">
      <c r="B13" s="9" t="s">
        <v>0</v>
      </c>
      <c r="C13" s="9" t="s">
        <v>6</v>
      </c>
      <c r="D13" s="9" t="s">
        <v>1</v>
      </c>
      <c r="E13" s="9" t="s">
        <v>16</v>
      </c>
      <c r="F13" s="9" t="s">
        <v>2</v>
      </c>
      <c r="G13" s="9" t="s">
        <v>55</v>
      </c>
      <c r="H13" s="9" t="s">
        <v>38</v>
      </c>
      <c r="I13" s="9" t="s">
        <v>3</v>
      </c>
      <c r="J13" s="9" t="s">
        <v>12</v>
      </c>
      <c r="K13" s="9" t="s">
        <v>8</v>
      </c>
      <c r="L13" s="28" t="s">
        <v>14</v>
      </c>
      <c r="M13" s="10" t="s">
        <v>62</v>
      </c>
      <c r="N13" s="9" t="s">
        <v>13</v>
      </c>
      <c r="O13" s="9" t="s">
        <v>7</v>
      </c>
      <c r="P13" s="9"/>
      <c r="Q13" s="9"/>
      <c r="R13" s="9"/>
      <c r="S13" s="9"/>
      <c r="T13" s="9"/>
      <c r="U13" s="9"/>
      <c r="AB13" s="12"/>
    </row>
    <row r="14" spans="1:30" x14ac:dyDescent="0.25">
      <c r="B14" s="3">
        <v>2014</v>
      </c>
      <c r="C14" s="3">
        <f>'Fin Stmt'!K15</f>
        <v>29.544</v>
      </c>
      <c r="D14" s="13">
        <f>'Fin Stmt'!P12</f>
        <v>297.19599999999997</v>
      </c>
      <c r="E14" s="13">
        <f>'Fin Stmt'!P15</f>
        <v>211.46</v>
      </c>
      <c r="F14" s="13">
        <f>'Fin Stmt'!P16+'Fin Stmt'!P17</f>
        <v>57.206000000000003</v>
      </c>
      <c r="G14" s="13">
        <f>'Fin Stmt'!P18</f>
        <v>3.89</v>
      </c>
      <c r="H14" s="23">
        <f>'Fin Stmt'!P12-'Fin Stmt'!P19</f>
        <v>24.639999999999986</v>
      </c>
      <c r="I14" s="13">
        <f>'Fin Stmt'!P24</f>
        <v>4.3600000000000003</v>
      </c>
      <c r="J14" s="3">
        <f>'Fin Stmt'!K63</f>
        <v>114.15900000000001</v>
      </c>
      <c r="K14" s="3">
        <f>(D14-E14-F14-G14)*(1-$D$7)</f>
        <v>16.015999999999966</v>
      </c>
      <c r="L14" s="3">
        <f>('Fin Stmt'!E11-'Fin Stmt'!K10)-('Fin Stmt'!D11-'Fin Stmt'!J10)</f>
        <v>8.4720000000000084</v>
      </c>
      <c r="M14" s="13">
        <f>'Fin Stmt'!E17-'Fin Stmt'!D17+'Fin Stmt'!P18</f>
        <v>6.2469999999999999</v>
      </c>
      <c r="N14" s="13">
        <f>K14+G14-L14-M14</f>
        <v>5.1869999999999585</v>
      </c>
      <c r="O14" s="121">
        <f>K14/J14</f>
        <v>0.14029555269404922</v>
      </c>
      <c r="P14" s="23"/>
      <c r="Q14" s="23"/>
      <c r="R14" s="23"/>
      <c r="S14" s="23"/>
      <c r="T14" s="23"/>
      <c r="AB14" s="24"/>
      <c r="AC14" s="30"/>
      <c r="AD14" s="30"/>
    </row>
    <row r="15" spans="1:30" x14ac:dyDescent="0.25">
      <c r="B15" s="12"/>
      <c r="C15" s="12"/>
      <c r="D15" s="12"/>
      <c r="E15" s="12"/>
      <c r="F15" s="12"/>
      <c r="G15" s="12"/>
      <c r="H15" s="108"/>
      <c r="I15" s="12"/>
      <c r="J15" s="12"/>
      <c r="K15" s="12"/>
      <c r="L15" s="12"/>
      <c r="M15" s="12"/>
      <c r="N15" s="12"/>
      <c r="O15" s="120"/>
      <c r="P15" s="108"/>
      <c r="Q15" s="108"/>
      <c r="R15" s="108"/>
      <c r="S15" s="108"/>
      <c r="T15" s="108"/>
      <c r="AB15" s="108"/>
      <c r="AC15" s="31"/>
      <c r="AD15" s="31"/>
    </row>
    <row r="16" spans="1:30" x14ac:dyDescent="0.25">
      <c r="B16" s="130" t="s">
        <v>4</v>
      </c>
      <c r="C16" s="131"/>
      <c r="D16" s="120">
        <v>8.5999999999999993E-2</v>
      </c>
      <c r="E16" s="120">
        <f>E14/$D$14</f>
        <v>0.71151697869419517</v>
      </c>
      <c r="F16" s="120">
        <f>F14/$D$14</f>
        <v>0.19248576696859987</v>
      </c>
      <c r="G16" s="120">
        <f>G14/$D$14</f>
        <v>1.3089005235602096E-2</v>
      </c>
      <c r="H16" s="117"/>
      <c r="I16" s="120">
        <f>I14/$I$5</f>
        <v>0.16360225140712947</v>
      </c>
      <c r="J16" s="7"/>
      <c r="K16" s="7"/>
      <c r="L16" s="12"/>
      <c r="M16" s="12"/>
      <c r="N16" s="12"/>
      <c r="O16" s="120"/>
      <c r="P16" s="108"/>
      <c r="Q16" s="108"/>
      <c r="R16" s="108"/>
      <c r="S16" s="108"/>
      <c r="T16" s="108"/>
      <c r="AB16" s="108"/>
      <c r="AC16" s="31"/>
      <c r="AD16" s="31"/>
    </row>
    <row r="17" spans="1:32" x14ac:dyDescent="0.25">
      <c r="H17" s="108"/>
      <c r="O17" s="95"/>
      <c r="P17" s="108"/>
      <c r="Q17" s="108"/>
      <c r="R17" s="108"/>
      <c r="S17" s="108"/>
      <c r="T17" s="108"/>
      <c r="AB17" s="108"/>
      <c r="AC17" s="31"/>
      <c r="AD17" s="31"/>
    </row>
    <row r="18" spans="1:32" x14ac:dyDescent="0.25">
      <c r="A18" s="40">
        <v>1</v>
      </c>
      <c r="B18" s="3">
        <f>B14+1</f>
        <v>2015</v>
      </c>
      <c r="C18" s="13">
        <f>($D$11*J14/(1+$D$11))</f>
        <v>29.543999999999997</v>
      </c>
      <c r="D18" s="13">
        <f>D14*(1+$D$5)</f>
        <v>309.08383999999995</v>
      </c>
      <c r="E18" s="13">
        <f t="shared" ref="E18:G23" si="0">E$16*$D18</f>
        <v>219.91839999999999</v>
      </c>
      <c r="F18" s="13">
        <f t="shared" si="0"/>
        <v>59.494239999999998</v>
      </c>
      <c r="G18" s="13">
        <f t="shared" si="0"/>
        <v>4.0456000000000003</v>
      </c>
      <c r="H18" s="23">
        <f>D18-E18-F18-G18</f>
        <v>25.625599999999963</v>
      </c>
      <c r="I18" s="13">
        <f t="shared" ref="I18:I23" si="1">I$16*C18</f>
        <v>4.8334649155722325</v>
      </c>
      <c r="J18" s="13">
        <f>J14+L18+M18</f>
        <v>129.46676000000002</v>
      </c>
      <c r="K18" s="13">
        <f t="shared" ref="K18:K23" si="2">(D18-E18-F18-G18)*(1-$D$7)</f>
        <v>16.656639999999971</v>
      </c>
      <c r="L18" s="13">
        <f>L14*(1+$D$5)</f>
        <v>8.8108800000000098</v>
      </c>
      <c r="M18" s="13">
        <f>M14*(1+$D$5)</f>
        <v>6.49688</v>
      </c>
      <c r="N18" s="13">
        <f>K18+G18-L18-M18</f>
        <v>5.3944799999999615</v>
      </c>
      <c r="O18" s="121">
        <f t="shared" ref="O18:O23" si="3">K18/J18</f>
        <v>0.12865572599484199</v>
      </c>
      <c r="P18" s="16"/>
      <c r="Q18" s="16"/>
      <c r="R18" s="16"/>
      <c r="S18" s="16"/>
      <c r="T18" s="16"/>
      <c r="U18" s="5"/>
      <c r="AB18" s="154"/>
      <c r="AD18" s="52"/>
      <c r="AF18" s="52"/>
    </row>
    <row r="19" spans="1:32" x14ac:dyDescent="0.25">
      <c r="A19" s="40">
        <f>A18+1</f>
        <v>2</v>
      </c>
      <c r="B19" s="3">
        <f t="shared" ref="B19:B23" si="4">B18+1</f>
        <v>2016</v>
      </c>
      <c r="C19" s="13">
        <f>($D$11*J18/(1+$D$11))</f>
        <v>33.505601463222348</v>
      </c>
      <c r="D19" s="13">
        <f t="shared" ref="D19:D23" si="5">D18*(1+$D$5)</f>
        <v>321.44719359999993</v>
      </c>
      <c r="E19" s="13">
        <f t="shared" si="0"/>
        <v>228.71513599999997</v>
      </c>
      <c r="F19" s="13">
        <f t="shared" si="0"/>
        <v>61.874009599999994</v>
      </c>
      <c r="G19" s="13">
        <f t="shared" si="0"/>
        <v>4.2074239999999996</v>
      </c>
      <c r="H19" s="23">
        <f t="shared" ref="H19:H23" si="6">D19-E19-F19-G19</f>
        <v>26.650623999999969</v>
      </c>
      <c r="I19" s="13">
        <f>I$16*C19</f>
        <v>5.4815918341331873</v>
      </c>
      <c r="J19" s="13">
        <f>J18+L19+M19</f>
        <v>145.38683040000001</v>
      </c>
      <c r="K19" s="13">
        <f t="shared" si="2"/>
        <v>17.322905599999974</v>
      </c>
      <c r="L19" s="13">
        <f>L18*(1+$D$5)</f>
        <v>9.1633152000000102</v>
      </c>
      <c r="M19" s="13">
        <f>M18*(1+$D$5)</f>
        <v>6.7567552000000006</v>
      </c>
      <c r="N19" s="13">
        <f t="shared" ref="N19:N23" si="7">K19+G19-L19-M19</f>
        <v>5.6102591999999625</v>
      </c>
      <c r="O19" s="121">
        <f t="shared" si="3"/>
        <v>0.11915044541750992</v>
      </c>
      <c r="P19" s="16"/>
      <c r="Q19" s="16"/>
      <c r="R19" s="16"/>
      <c r="S19" s="16"/>
      <c r="T19" s="16"/>
      <c r="U19" s="5"/>
      <c r="AB19" s="154"/>
      <c r="AD19" s="52"/>
      <c r="AF19" s="52"/>
    </row>
    <row r="20" spans="1:32" x14ac:dyDescent="0.25">
      <c r="A20" s="40">
        <f t="shared" ref="A20:A22" si="8">A19+1</f>
        <v>3</v>
      </c>
      <c r="B20" s="3">
        <f t="shared" si="4"/>
        <v>2017</v>
      </c>
      <c r="C20" s="13">
        <f t="shared" ref="C20:C22" si="9">($D$11*J19/(1+$D$11))</f>
        <v>37.625666984973591</v>
      </c>
      <c r="D20" s="13">
        <f t="shared" si="5"/>
        <v>334.30508134399992</v>
      </c>
      <c r="E20" s="13">
        <f t="shared" si="0"/>
        <v>237.86374143999998</v>
      </c>
      <c r="F20" s="13">
        <f t="shared" si="0"/>
        <v>64.348969983999993</v>
      </c>
      <c r="G20" s="13">
        <f t="shared" si="0"/>
        <v>4.3757209599999998</v>
      </c>
      <c r="H20" s="23">
        <f t="shared" si="6"/>
        <v>27.71664895999994</v>
      </c>
      <c r="I20" s="13">
        <f t="shared" si="1"/>
        <v>6.1556438294365803</v>
      </c>
      <c r="J20" s="13">
        <f>J19+L20+M20</f>
        <v>161.94370361600002</v>
      </c>
      <c r="K20" s="13">
        <f t="shared" si="2"/>
        <v>18.015821823999957</v>
      </c>
      <c r="L20" s="13">
        <f t="shared" ref="L20:M23" si="10">L19*(1+$D$5)</f>
        <v>9.5298478080000102</v>
      </c>
      <c r="M20" s="13">
        <f t="shared" si="10"/>
        <v>7.027025408000001</v>
      </c>
      <c r="N20" s="13">
        <f t="shared" si="7"/>
        <v>5.8346695679999447</v>
      </c>
      <c r="O20" s="121">
        <f t="shared" si="3"/>
        <v>0.11124743612582166</v>
      </c>
      <c r="P20" s="16"/>
      <c r="Q20" s="16"/>
      <c r="R20" s="16"/>
      <c r="S20" s="16"/>
      <c r="T20" s="16"/>
      <c r="U20" s="5"/>
      <c r="AB20" s="154"/>
      <c r="AD20" s="52"/>
      <c r="AF20" s="52"/>
    </row>
    <row r="21" spans="1:32" x14ac:dyDescent="0.25">
      <c r="A21" s="40">
        <f t="shared" si="8"/>
        <v>4</v>
      </c>
      <c r="B21" s="3">
        <f t="shared" si="4"/>
        <v>2018</v>
      </c>
      <c r="C21" s="13">
        <f t="shared" si="9"/>
        <v>41.910535127594883</v>
      </c>
      <c r="D21" s="13">
        <f t="shared" si="5"/>
        <v>347.67728459775992</v>
      </c>
      <c r="E21" s="13">
        <f t="shared" si="0"/>
        <v>247.37829109759997</v>
      </c>
      <c r="F21" s="13">
        <f t="shared" si="0"/>
        <v>66.922928783359993</v>
      </c>
      <c r="G21" s="13">
        <f t="shared" si="0"/>
        <v>4.5507497983999992</v>
      </c>
      <c r="H21" s="23">
        <f t="shared" si="6"/>
        <v>28.825314918399961</v>
      </c>
      <c r="I21" s="13">
        <f t="shared" si="1"/>
        <v>6.856657904552109</v>
      </c>
      <c r="J21" s="13">
        <f>J20+L21+M21</f>
        <v>179.16285176064002</v>
      </c>
      <c r="K21" s="13">
        <f t="shared" si="2"/>
        <v>18.736454696959967</v>
      </c>
      <c r="L21" s="13">
        <f t="shared" si="10"/>
        <v>9.9110417203200107</v>
      </c>
      <c r="M21" s="13">
        <f t="shared" si="10"/>
        <v>7.3081064243200009</v>
      </c>
      <c r="N21" s="13">
        <f t="shared" si="7"/>
        <v>6.0680563507199539</v>
      </c>
      <c r="O21" s="121">
        <f t="shared" si="3"/>
        <v>0.10457778782172827</v>
      </c>
      <c r="P21" s="16"/>
      <c r="Q21" s="16"/>
      <c r="R21" s="16"/>
      <c r="S21" s="16"/>
      <c r="T21" s="16"/>
      <c r="U21" s="5"/>
      <c r="AB21" s="154"/>
      <c r="AD21" s="52"/>
      <c r="AF21" s="52"/>
    </row>
    <row r="22" spans="1:32" x14ac:dyDescent="0.25">
      <c r="A22" s="40">
        <f t="shared" si="8"/>
        <v>5</v>
      </c>
      <c r="B22" s="3">
        <f t="shared" si="4"/>
        <v>2019</v>
      </c>
      <c r="C22" s="13">
        <f t="shared" si="9"/>
        <v>46.366797995921026</v>
      </c>
      <c r="D22" s="13">
        <f t="shared" si="5"/>
        <v>361.58437598167035</v>
      </c>
      <c r="E22" s="13">
        <f t="shared" si="0"/>
        <v>257.27342274150402</v>
      </c>
      <c r="F22" s="13">
        <f t="shared" si="0"/>
        <v>69.5998459346944</v>
      </c>
      <c r="G22" s="13">
        <f t="shared" si="0"/>
        <v>4.732779790336</v>
      </c>
      <c r="H22" s="23">
        <f t="shared" si="6"/>
        <v>29.978327515135927</v>
      </c>
      <c r="I22" s="13">
        <f t="shared" si="1"/>
        <v>7.5857125426722583</v>
      </c>
      <c r="J22" s="13">
        <f>J21+L22+M22</f>
        <v>197.07076583106564</v>
      </c>
      <c r="K22" s="13">
        <f t="shared" si="2"/>
        <v>19.485912884838346</v>
      </c>
      <c r="L22" s="13">
        <f>L21*(1+$D$5)</f>
        <v>10.307483389132811</v>
      </c>
      <c r="M22" s="13">
        <f t="shared" si="10"/>
        <v>7.6004306812928011</v>
      </c>
      <c r="N22" s="13">
        <f t="shared" si="7"/>
        <v>6.3107786047487338</v>
      </c>
      <c r="O22" s="121">
        <f t="shared" si="3"/>
        <v>9.8877744766781864E-2</v>
      </c>
      <c r="P22" s="16"/>
      <c r="Q22" s="16"/>
      <c r="R22" s="16"/>
      <c r="S22" s="16"/>
      <c r="T22" s="16"/>
      <c r="U22" s="5"/>
      <c r="AB22" s="154"/>
      <c r="AD22" s="52"/>
      <c r="AF22" s="52"/>
    </row>
    <row r="23" spans="1:32" ht="18" x14ac:dyDescent="0.35">
      <c r="A23" s="107" t="s">
        <v>187</v>
      </c>
      <c r="B23" s="3">
        <f t="shared" si="4"/>
        <v>2020</v>
      </c>
      <c r="C23" s="13">
        <f>($D$11*J22/(1+$D$11))</f>
        <v>51.001311378980226</v>
      </c>
      <c r="D23" s="13">
        <f t="shared" si="5"/>
        <v>376.0477510209372</v>
      </c>
      <c r="E23" s="13">
        <f t="shared" si="0"/>
        <v>267.56435965116418</v>
      </c>
      <c r="F23" s="13">
        <f t="shared" si="0"/>
        <v>72.383839772082183</v>
      </c>
      <c r="G23" s="13">
        <f t="shared" si="0"/>
        <v>4.9220909819494407</v>
      </c>
      <c r="H23" s="23">
        <f t="shared" si="6"/>
        <v>31.177460615741392</v>
      </c>
      <c r="I23" s="13">
        <f t="shared" si="1"/>
        <v>8.3439293663172158</v>
      </c>
      <c r="J23" s="13">
        <f>J22+L23+M23</f>
        <v>215.69499646430828</v>
      </c>
      <c r="K23" s="13">
        <f t="shared" si="2"/>
        <v>20.265349400231898</v>
      </c>
      <c r="L23" s="13">
        <f t="shared" si="10"/>
        <v>10.719782724698124</v>
      </c>
      <c r="M23" s="13">
        <f t="shared" si="10"/>
        <v>7.9044479085445136</v>
      </c>
      <c r="N23" s="13">
        <f t="shared" si="7"/>
        <v>6.5632097489387018</v>
      </c>
      <c r="O23" s="121">
        <f t="shared" si="3"/>
        <v>9.3953729722169366E-2</v>
      </c>
      <c r="P23" s="4"/>
      <c r="Q23" s="4"/>
      <c r="R23" s="4"/>
      <c r="S23" s="4"/>
      <c r="T23" s="4"/>
      <c r="AB23" s="154"/>
      <c r="AD23" s="52"/>
      <c r="AF23" s="52"/>
    </row>
    <row r="24" spans="1:32" x14ac:dyDescent="0.25">
      <c r="A24" s="40"/>
      <c r="B24" s="3"/>
      <c r="C24" s="13"/>
      <c r="D24" s="13"/>
      <c r="E24" s="13"/>
      <c r="F24" s="13"/>
      <c r="G24" s="13"/>
      <c r="H24" s="13"/>
      <c r="I24" s="13"/>
      <c r="J24" s="13"/>
      <c r="K24" s="13"/>
      <c r="L24" s="13"/>
      <c r="M24" s="13"/>
      <c r="N24" s="13"/>
      <c r="O24" s="13"/>
      <c r="P24" s="4"/>
      <c r="Q24" s="4"/>
      <c r="R24" s="4"/>
      <c r="S24" s="4"/>
      <c r="T24" s="4"/>
      <c r="U24" s="16"/>
      <c r="AB24" s="25"/>
    </row>
    <row r="25" spans="1:32" x14ac:dyDescent="0.25">
      <c r="A25" s="40"/>
      <c r="U25" s="108"/>
      <c r="AB25" s="108"/>
    </row>
    <row r="26" spans="1:32" ht="30" customHeight="1" x14ac:dyDescent="0.25">
      <c r="A26" s="40"/>
      <c r="B26" s="152" t="s">
        <v>33</v>
      </c>
      <c r="C26" s="152"/>
      <c r="D26" s="152"/>
      <c r="E26" s="152"/>
      <c r="F26" s="152"/>
      <c r="G26" s="152"/>
      <c r="H26" s="152"/>
      <c r="I26" s="113"/>
      <c r="J26" s="153" t="s">
        <v>13</v>
      </c>
      <c r="K26" s="153"/>
      <c r="L26" s="153"/>
      <c r="M26" s="113"/>
      <c r="N26" s="159" t="s">
        <v>189</v>
      </c>
      <c r="O26" s="159"/>
      <c r="P26" s="159"/>
      <c r="Q26" s="112"/>
      <c r="R26" s="160" t="s">
        <v>190</v>
      </c>
      <c r="S26" s="160"/>
      <c r="T26" s="160"/>
      <c r="U26" s="113"/>
      <c r="V26" s="158" t="s">
        <v>56</v>
      </c>
      <c r="W26" s="158"/>
      <c r="X26" s="158"/>
      <c r="Y26" s="158"/>
      <c r="Z26" s="158"/>
      <c r="AA26" s="158"/>
      <c r="AB26" s="26"/>
    </row>
    <row r="27" spans="1:32" ht="33" x14ac:dyDescent="0.35">
      <c r="A27" s="40"/>
      <c r="B27" s="20" t="s">
        <v>0</v>
      </c>
      <c r="C27" s="20" t="s">
        <v>12</v>
      </c>
      <c r="D27" s="20" t="s">
        <v>7</v>
      </c>
      <c r="E27" s="20" t="s">
        <v>15</v>
      </c>
      <c r="F27" s="20" t="s">
        <v>37</v>
      </c>
      <c r="G27" s="20" t="s">
        <v>45</v>
      </c>
      <c r="H27" s="20" t="s">
        <v>46</v>
      </c>
      <c r="J27" s="44" t="s">
        <v>13</v>
      </c>
      <c r="K27" s="44" t="s">
        <v>47</v>
      </c>
      <c r="L27" s="44" t="s">
        <v>48</v>
      </c>
      <c r="M27" s="22"/>
      <c r="N27" s="109" t="str">
        <f>J27</f>
        <v>FCF</v>
      </c>
      <c r="O27" s="115" t="s">
        <v>177</v>
      </c>
      <c r="P27" s="115" t="s">
        <v>178</v>
      </c>
      <c r="Q27" s="115"/>
      <c r="R27" s="123" t="str">
        <f>N27</f>
        <v>FCF</v>
      </c>
      <c r="S27" s="124" t="s">
        <v>191</v>
      </c>
      <c r="T27" s="124" t="s">
        <v>192</v>
      </c>
      <c r="V27" s="54" t="s">
        <v>13</v>
      </c>
      <c r="W27" s="54" t="s">
        <v>60</v>
      </c>
      <c r="X27" s="54" t="s">
        <v>61</v>
      </c>
      <c r="Y27" s="54" t="s">
        <v>57</v>
      </c>
      <c r="Z27" s="54" t="s">
        <v>58</v>
      </c>
      <c r="AA27" s="54" t="s">
        <v>59</v>
      </c>
      <c r="AB27" s="27"/>
      <c r="AC27" s="34"/>
      <c r="AD27" s="34"/>
    </row>
    <row r="28" spans="1:32" x14ac:dyDescent="0.25">
      <c r="A28" s="40">
        <v>0</v>
      </c>
      <c r="B28" s="18">
        <f>B14</f>
        <v>2014</v>
      </c>
      <c r="C28" s="18">
        <f>J14</f>
        <v>114.15900000000001</v>
      </c>
      <c r="D28" s="118">
        <f>O14</f>
        <v>0.14029555269404922</v>
      </c>
      <c r="E28" s="118">
        <f>$D$8</f>
        <v>0.18</v>
      </c>
      <c r="F28" s="21">
        <f t="shared" ref="F28:F34" si="11">C28*(D28-E28)</f>
        <v>-4.5326200000000343</v>
      </c>
      <c r="G28" s="49"/>
      <c r="H28" s="108"/>
      <c r="J28" s="45">
        <f>N14</f>
        <v>5.1869999999999585</v>
      </c>
      <c r="K28" s="46"/>
      <c r="L28" s="46"/>
      <c r="N28">
        <f t="shared" ref="N28:O34" si="12">J28</f>
        <v>5.1869999999999585</v>
      </c>
      <c r="R28" s="125">
        <f t="shared" ref="R28:R34" si="13">N28</f>
        <v>5.1869999999999585</v>
      </c>
      <c r="S28" s="125"/>
      <c r="T28" s="125"/>
      <c r="V28" s="55">
        <f>N14</f>
        <v>5.1869999999999585</v>
      </c>
      <c r="W28" s="31"/>
      <c r="X28" s="31"/>
      <c r="Y28" s="55">
        <f>I14*$D$7</f>
        <v>1.5260000000000009</v>
      </c>
      <c r="Z28" s="31"/>
      <c r="AA28" s="31"/>
      <c r="AB28" s="11"/>
      <c r="AC28" s="37"/>
      <c r="AD28" s="35"/>
    </row>
    <row r="29" spans="1:32" x14ac:dyDescent="0.25">
      <c r="A29" s="40">
        <v>1</v>
      </c>
      <c r="B29" s="18">
        <f t="shared" ref="B29:B34" si="14">B18</f>
        <v>2015</v>
      </c>
      <c r="C29" s="29">
        <f t="shared" ref="C29:C34" si="15">J18</f>
        <v>129.46676000000002</v>
      </c>
      <c r="D29" s="118">
        <f t="shared" ref="D29:D34" si="16">O18</f>
        <v>0.12865572599484199</v>
      </c>
      <c r="E29" s="118">
        <f>$D$8</f>
        <v>0.18</v>
      </c>
      <c r="F29" s="21">
        <f t="shared" si="11"/>
        <v>-6.6473768000000319</v>
      </c>
      <c r="G29" s="119">
        <f>F29/((1+$D$8)^A29)</f>
        <v>-5.6333701694915526</v>
      </c>
      <c r="H29" s="119">
        <f>G29</f>
        <v>-5.6333701694915526</v>
      </c>
      <c r="J29" s="45">
        <f t="shared" ref="J29:J34" si="17">N18</f>
        <v>5.3944799999999615</v>
      </c>
      <c r="K29" s="47">
        <f>J29/((1+$D$8)^A29)</f>
        <v>4.5715932203389507</v>
      </c>
      <c r="L29" s="47">
        <f>K29</f>
        <v>4.5715932203389507</v>
      </c>
      <c r="N29" s="52">
        <f t="shared" si="12"/>
        <v>5.3944799999999615</v>
      </c>
      <c r="O29" s="52">
        <f t="shared" si="12"/>
        <v>4.5715932203389507</v>
      </c>
      <c r="P29" s="52">
        <f>L29</f>
        <v>4.5715932203389507</v>
      </c>
      <c r="Q29" s="52"/>
      <c r="R29" s="126">
        <f t="shared" si="13"/>
        <v>5.3944799999999615</v>
      </c>
      <c r="S29" s="126">
        <f t="shared" ref="S29:S33" si="18">O29</f>
        <v>4.5715932203389507</v>
      </c>
      <c r="T29" s="126">
        <f>P29</f>
        <v>4.5715932203389507</v>
      </c>
      <c r="U29" s="11"/>
      <c r="V29" s="55">
        <f t="shared" ref="V29:V34" si="19">N18</f>
        <v>5.3944799999999615</v>
      </c>
      <c r="W29" s="55">
        <f>N18/((1+$H$8)^A18)</f>
        <v>4.5715932203389507</v>
      </c>
      <c r="X29" s="55">
        <f>W29</f>
        <v>4.5715932203389507</v>
      </c>
      <c r="Y29" s="55">
        <f t="shared" ref="Y29:Y34" si="20">I18*$D$7</f>
        <v>1.6917127204502824</v>
      </c>
      <c r="Z29" s="32">
        <f>Y29/((1+$J$8)^A18)</f>
        <v>1.4336548478392224</v>
      </c>
      <c r="AA29" s="32">
        <f>Z29</f>
        <v>1.4336548478392224</v>
      </c>
      <c r="AC29" s="37"/>
      <c r="AD29" s="35"/>
    </row>
    <row r="30" spans="1:32" x14ac:dyDescent="0.25">
      <c r="A30" s="40">
        <v>2</v>
      </c>
      <c r="B30" s="18">
        <f t="shared" si="14"/>
        <v>2016</v>
      </c>
      <c r="C30" s="29">
        <f t="shared" si="15"/>
        <v>145.38683040000001</v>
      </c>
      <c r="D30" s="118">
        <f t="shared" si="16"/>
        <v>0.11915044541750992</v>
      </c>
      <c r="E30" s="118">
        <f t="shared" ref="E30:E34" si="21">$D$8</f>
        <v>0.18</v>
      </c>
      <c r="F30" s="21">
        <f t="shared" si="11"/>
        <v>-8.8467238720000267</v>
      </c>
      <c r="G30" s="119">
        <f>F30/((1+$D$8)^A30)</f>
        <v>-6.3535793392703441</v>
      </c>
      <c r="H30" s="119">
        <f>H29+G30</f>
        <v>-11.986949508761896</v>
      </c>
      <c r="J30" s="45">
        <f t="shared" si="17"/>
        <v>5.6102591999999625</v>
      </c>
      <c r="K30" s="47">
        <f>J30/((1+$D$8)^A30)</f>
        <v>4.0292008043665346</v>
      </c>
      <c r="L30" s="47">
        <f>L29+K30</f>
        <v>8.6007940247054862</v>
      </c>
      <c r="N30" s="52">
        <f t="shared" si="12"/>
        <v>5.6102591999999625</v>
      </c>
      <c r="O30" s="52">
        <f t="shared" si="12"/>
        <v>4.0292008043665346</v>
      </c>
      <c r="P30" s="52">
        <f>L30</f>
        <v>8.6007940247054862</v>
      </c>
      <c r="Q30" s="52"/>
      <c r="R30" s="126">
        <f t="shared" si="13"/>
        <v>5.6102591999999625</v>
      </c>
      <c r="S30" s="126">
        <f t="shared" si="18"/>
        <v>4.0292008043665346</v>
      </c>
      <c r="T30" s="126">
        <f>P30</f>
        <v>8.6007940247054862</v>
      </c>
      <c r="U30" s="27"/>
      <c r="V30" s="55">
        <f t="shared" si="19"/>
        <v>5.6102591999999625</v>
      </c>
      <c r="W30" s="55">
        <f>N19/((1+$H$8)^A19)</f>
        <v>4.0292008043665346</v>
      </c>
      <c r="X30" s="55">
        <f>X29+W30</f>
        <v>8.6007940247054862</v>
      </c>
      <c r="Y30" s="55">
        <f t="shared" si="20"/>
        <v>1.9185571419466168</v>
      </c>
      <c r="Z30" s="32">
        <f>Y30/((1+$J$8)^A19)</f>
        <v>1.3778778669539047</v>
      </c>
      <c r="AA30" s="32">
        <f>AA29+Z30</f>
        <v>2.8115327147931271</v>
      </c>
      <c r="AC30" s="37"/>
      <c r="AD30" s="36"/>
    </row>
    <row r="31" spans="1:32" x14ac:dyDescent="0.25">
      <c r="A31" s="40">
        <v>3</v>
      </c>
      <c r="B31" s="18">
        <f t="shared" si="14"/>
        <v>2017</v>
      </c>
      <c r="C31" s="29">
        <f t="shared" si="15"/>
        <v>161.94370361600002</v>
      </c>
      <c r="D31" s="118">
        <f t="shared" si="16"/>
        <v>0.11124743612582166</v>
      </c>
      <c r="E31" s="118">
        <f t="shared" si="21"/>
        <v>0.18</v>
      </c>
      <c r="F31" s="21">
        <f t="shared" si="11"/>
        <v>-11.134044826880046</v>
      </c>
      <c r="G31" s="119">
        <f>F31/((1+$D$8)^A31)</f>
        <v>-6.7765234194343433</v>
      </c>
      <c r="H31" s="119">
        <f t="shared" ref="H31:H33" si="22">H30+G31</f>
        <v>-18.76347292819624</v>
      </c>
      <c r="J31" s="45">
        <f t="shared" si="17"/>
        <v>5.8346695679999447</v>
      </c>
      <c r="K31" s="47">
        <f>J31/((1+$D$8)^A31)</f>
        <v>3.5511600309671056</v>
      </c>
      <c r="L31" s="47">
        <f>L30+K31</f>
        <v>12.151954055672592</v>
      </c>
      <c r="N31" s="52">
        <f t="shared" si="12"/>
        <v>5.8346695679999447</v>
      </c>
      <c r="O31" s="52">
        <f t="shared" si="12"/>
        <v>3.5511600309671056</v>
      </c>
      <c r="P31" s="52">
        <f>L31</f>
        <v>12.151954055672592</v>
      </c>
      <c r="Q31" s="52"/>
      <c r="R31" s="126">
        <f t="shared" si="13"/>
        <v>5.8346695679999447</v>
      </c>
      <c r="S31" s="126">
        <f t="shared" si="18"/>
        <v>3.5511600309671056</v>
      </c>
      <c r="T31" s="126">
        <f>P31</f>
        <v>12.151954055672592</v>
      </c>
      <c r="U31" s="39"/>
      <c r="V31" s="55">
        <f t="shared" si="19"/>
        <v>5.8346695679999447</v>
      </c>
      <c r="W31" s="55">
        <f>N20/((1+$H$8)^A20)</f>
        <v>3.5511600309671056</v>
      </c>
      <c r="X31" s="55">
        <f>X30+W31</f>
        <v>12.151954055672592</v>
      </c>
      <c r="Y31" s="55">
        <f t="shared" si="20"/>
        <v>2.1544753403028043</v>
      </c>
      <c r="Z31" s="32">
        <f>Y31/((1+$J$8)^A20)</f>
        <v>1.3112802065345073</v>
      </c>
      <c r="AA31" s="32">
        <f t="shared" ref="AA31:AA33" si="23">AA30+Z31</f>
        <v>4.1228129213276343</v>
      </c>
    </row>
    <row r="32" spans="1:32" x14ac:dyDescent="0.25">
      <c r="A32" s="40">
        <v>4</v>
      </c>
      <c r="B32" s="18">
        <f t="shared" si="14"/>
        <v>2018</v>
      </c>
      <c r="C32" s="29">
        <f t="shared" si="15"/>
        <v>179.16285176064002</v>
      </c>
      <c r="D32" s="118">
        <f t="shared" si="16"/>
        <v>0.10457778782172827</v>
      </c>
      <c r="E32" s="118">
        <f t="shared" si="21"/>
        <v>0.18</v>
      </c>
      <c r="F32" s="21">
        <f t="shared" si="11"/>
        <v>-13.512858619955235</v>
      </c>
      <c r="G32" s="119">
        <f>F32/((1+$D$8)^A32)</f>
        <v>-6.9697821476739232</v>
      </c>
      <c r="H32" s="119">
        <f t="shared" si="22"/>
        <v>-25.733255075870161</v>
      </c>
      <c r="J32" s="45">
        <f t="shared" si="17"/>
        <v>6.0680563507199539</v>
      </c>
      <c r="K32" s="47">
        <f>J32/((1+$D$8)^A32)</f>
        <v>3.1298359594964382</v>
      </c>
      <c r="L32" s="47">
        <f>L31+K32</f>
        <v>15.28179001516903</v>
      </c>
      <c r="N32" s="52">
        <f t="shared" si="12"/>
        <v>6.0680563507199539</v>
      </c>
      <c r="O32" s="52">
        <f t="shared" si="12"/>
        <v>3.1298359594964382</v>
      </c>
      <c r="P32" s="52">
        <f>L32</f>
        <v>15.28179001516903</v>
      </c>
      <c r="Q32" s="52"/>
      <c r="R32" s="126">
        <f t="shared" si="13"/>
        <v>6.0680563507199539</v>
      </c>
      <c r="S32" s="126">
        <f t="shared" si="18"/>
        <v>3.1298359594964382</v>
      </c>
      <c r="T32" s="126">
        <f>P32</f>
        <v>15.28179001516903</v>
      </c>
      <c r="V32" s="55">
        <f t="shared" si="19"/>
        <v>6.0680563507199539</v>
      </c>
      <c r="W32" s="55">
        <f>N21/((1+$H$8)^A21)</f>
        <v>3.1298359594964382</v>
      </c>
      <c r="X32" s="55">
        <f>X31+W32</f>
        <v>15.28179001516903</v>
      </c>
      <c r="Y32" s="55">
        <f t="shared" si="20"/>
        <v>2.3998302665932396</v>
      </c>
      <c r="Z32" s="32">
        <f>Y32/((1+$J$8)^A21)</f>
        <v>1.2378057537617102</v>
      </c>
      <c r="AA32" s="32">
        <f t="shared" si="23"/>
        <v>5.360618675089345</v>
      </c>
    </row>
    <row r="33" spans="1:27" x14ac:dyDescent="0.25">
      <c r="A33" s="40">
        <v>5</v>
      </c>
      <c r="B33" s="18">
        <f t="shared" si="14"/>
        <v>2019</v>
      </c>
      <c r="C33" s="29">
        <f t="shared" si="15"/>
        <v>197.07076583106564</v>
      </c>
      <c r="D33" s="118">
        <f t="shared" si="16"/>
        <v>9.8877744766781864E-2</v>
      </c>
      <c r="E33" s="118">
        <f t="shared" si="21"/>
        <v>0.18</v>
      </c>
      <c r="F33" s="21">
        <f t="shared" si="11"/>
        <v>-15.986824964753469</v>
      </c>
      <c r="G33" s="119">
        <f>F33/((1+$D$8)^A33)</f>
        <v>-6.9879885303569189</v>
      </c>
      <c r="H33" s="119">
        <f t="shared" si="22"/>
        <v>-32.721243606227077</v>
      </c>
      <c r="J33" s="45">
        <f t="shared" si="17"/>
        <v>6.3107786047487338</v>
      </c>
      <c r="K33" s="47">
        <f>J33/((1+$D$8)^A33)</f>
        <v>2.7584994897256667</v>
      </c>
      <c r="L33" s="47">
        <f>L32+K33</f>
        <v>18.040289504894695</v>
      </c>
      <c r="N33" s="52">
        <f t="shared" si="12"/>
        <v>6.3107786047487338</v>
      </c>
      <c r="O33" s="52">
        <f t="shared" si="12"/>
        <v>2.7584994897256667</v>
      </c>
      <c r="P33" s="52">
        <f>L33</f>
        <v>18.040289504894695</v>
      </c>
      <c r="Q33" s="52"/>
      <c r="R33" s="126">
        <f t="shared" si="13"/>
        <v>6.3107786047487338</v>
      </c>
      <c r="S33" s="126">
        <f t="shared" si="18"/>
        <v>2.7584994897256667</v>
      </c>
      <c r="T33" s="126">
        <f>P33</f>
        <v>18.040289504894695</v>
      </c>
      <c r="V33" s="55">
        <f t="shared" si="19"/>
        <v>6.3107786047487338</v>
      </c>
      <c r="W33" s="55">
        <f>N22/((1+$H$8)^A22)</f>
        <v>2.7584994897256667</v>
      </c>
      <c r="X33" s="55">
        <f>X32+W33</f>
        <v>18.040289504894695</v>
      </c>
      <c r="Y33" s="55">
        <f t="shared" si="20"/>
        <v>2.6549993899352917</v>
      </c>
      <c r="Z33" s="32">
        <f>Y33/((1+$J$8)^A22)</f>
        <v>1.1605247024269614</v>
      </c>
      <c r="AA33" s="32">
        <f t="shared" si="23"/>
        <v>6.5211433775163066</v>
      </c>
    </row>
    <row r="34" spans="1:27" ht="18" x14ac:dyDescent="0.35">
      <c r="A34" s="107" t="s">
        <v>187</v>
      </c>
      <c r="B34" s="18">
        <f t="shared" si="14"/>
        <v>2020</v>
      </c>
      <c r="C34" s="29">
        <f t="shared" si="15"/>
        <v>215.69499646430828</v>
      </c>
      <c r="D34" s="118">
        <f t="shared" si="16"/>
        <v>9.3953729722169366E-2</v>
      </c>
      <c r="E34" s="118">
        <f t="shared" si="21"/>
        <v>0.18</v>
      </c>
      <c r="F34" s="21">
        <f t="shared" si="11"/>
        <v>-18.559749963343592</v>
      </c>
      <c r="G34" s="19"/>
      <c r="J34" s="45">
        <f t="shared" si="17"/>
        <v>6.5632097489387018</v>
      </c>
      <c r="K34" s="46"/>
      <c r="L34" s="46"/>
      <c r="N34" s="52">
        <f t="shared" si="12"/>
        <v>6.5632097489387018</v>
      </c>
      <c r="O34" s="52"/>
      <c r="P34" s="52"/>
      <c r="Q34" s="52"/>
      <c r="R34" s="126">
        <f t="shared" si="13"/>
        <v>6.5632097489387018</v>
      </c>
      <c r="S34" s="126"/>
      <c r="T34" s="126"/>
      <c r="V34" s="55">
        <f t="shared" si="19"/>
        <v>6.5632097489387018</v>
      </c>
      <c r="W34" s="32"/>
      <c r="X34" s="32"/>
      <c r="Y34" s="55">
        <f t="shared" si="20"/>
        <v>2.920375278211027</v>
      </c>
      <c r="Z34" s="32"/>
      <c r="AA34" s="32"/>
    </row>
    <row r="35" spans="1:27" x14ac:dyDescent="0.25">
      <c r="B35" s="18"/>
      <c r="C35" s="29"/>
      <c r="D35" s="21"/>
      <c r="E35" s="21"/>
      <c r="F35" s="21"/>
      <c r="G35" s="19"/>
      <c r="J35" s="45"/>
      <c r="K35" s="46"/>
      <c r="L35" s="46"/>
      <c r="N35" s="52"/>
      <c r="O35" s="52"/>
      <c r="P35" s="52"/>
      <c r="Q35" s="52"/>
      <c r="R35" s="126"/>
      <c r="S35" s="126"/>
      <c r="T35" s="126"/>
      <c r="V35" s="55"/>
      <c r="W35" s="32"/>
      <c r="X35" s="32"/>
      <c r="Y35" s="55"/>
      <c r="Z35" s="32"/>
      <c r="AA35" s="32"/>
    </row>
    <row r="36" spans="1:27" ht="18" x14ac:dyDescent="0.25">
      <c r="B36" s="18"/>
      <c r="C36" s="17"/>
      <c r="D36" s="21"/>
      <c r="E36" s="21"/>
      <c r="F36" s="18"/>
      <c r="G36" s="18"/>
      <c r="J36" s="46"/>
      <c r="K36" s="46"/>
      <c r="L36" s="46"/>
      <c r="R36" s="125"/>
      <c r="S36" s="125"/>
      <c r="T36" s="125"/>
      <c r="V36" s="33"/>
      <c r="W36" s="34"/>
      <c r="X36" s="114" t="s">
        <v>31</v>
      </c>
      <c r="Y36" s="114"/>
      <c r="Z36" s="114"/>
      <c r="AA36" s="114" t="s">
        <v>32</v>
      </c>
    </row>
    <row r="37" spans="1:27" ht="18" x14ac:dyDescent="0.35">
      <c r="B37" s="18"/>
      <c r="C37" s="17"/>
      <c r="D37" s="21"/>
      <c r="E37" s="21"/>
      <c r="G37" s="38" t="s">
        <v>64</v>
      </c>
      <c r="H37" s="50">
        <f>C28</f>
        <v>114.15900000000001</v>
      </c>
      <c r="J37" s="46"/>
      <c r="K37" s="51" t="s">
        <v>47</v>
      </c>
      <c r="L37" s="47">
        <f>L33</f>
        <v>18.040289504894695</v>
      </c>
      <c r="O37" s="40" t="s">
        <v>34</v>
      </c>
      <c r="P37" s="26">
        <f>L37</f>
        <v>18.040289504894695</v>
      </c>
      <c r="Q37" s="26"/>
      <c r="R37" s="127"/>
      <c r="S37" s="128" t="s">
        <v>193</v>
      </c>
      <c r="T37" s="127">
        <f>L37</f>
        <v>18.040289504894695</v>
      </c>
      <c r="V37" s="34"/>
      <c r="W37" s="37" t="s">
        <v>60</v>
      </c>
      <c r="X37" s="32">
        <f>X33</f>
        <v>18.040289504894695</v>
      </c>
      <c r="Y37" s="32"/>
      <c r="Z37" s="37" t="s">
        <v>182</v>
      </c>
      <c r="AA37" s="32">
        <f>AA33</f>
        <v>6.5211433775163066</v>
      </c>
    </row>
    <row r="38" spans="1:27" ht="18" x14ac:dyDescent="0.35">
      <c r="G38" s="38" t="s">
        <v>35</v>
      </c>
      <c r="H38" s="50">
        <f>H33</f>
        <v>-32.721243606227077</v>
      </c>
      <c r="J38" s="46"/>
      <c r="K38" s="51" t="s">
        <v>52</v>
      </c>
      <c r="L38" s="47">
        <f>(J34)/(D8-D5)</f>
        <v>46.880069635276449</v>
      </c>
      <c r="O38" s="42" t="s">
        <v>39</v>
      </c>
      <c r="P38" s="26">
        <f>N23/(D8-D5)</f>
        <v>46.880069635276449</v>
      </c>
      <c r="Q38" s="26"/>
      <c r="R38" s="127"/>
      <c r="S38" s="129" t="s">
        <v>39</v>
      </c>
      <c r="T38" s="127">
        <f>(K23*(1-(D5/O23)))/(D8-D5)</f>
        <v>83.12535386899691</v>
      </c>
      <c r="V38" s="113"/>
      <c r="W38" s="37" t="s">
        <v>179</v>
      </c>
      <c r="X38" s="32">
        <f>(V34)/(H8-D5)</f>
        <v>46.880069635276449</v>
      </c>
      <c r="Y38" s="32"/>
      <c r="Z38" s="37" t="s">
        <v>183</v>
      </c>
      <c r="AA38" s="32">
        <f>(Y34)/(J8-D5)</f>
        <v>20.859823415793052</v>
      </c>
    </row>
    <row r="39" spans="1:27" ht="18" x14ac:dyDescent="0.35">
      <c r="G39" s="38" t="s">
        <v>49</v>
      </c>
      <c r="H39" s="50">
        <f>(C33*(D34-D8))/(D8-D5)</f>
        <v>-121.12288843256388</v>
      </c>
      <c r="J39" s="46"/>
      <c r="K39" s="51" t="s">
        <v>53</v>
      </c>
      <c r="L39" s="47">
        <f>L38/((1+D8)^A33)</f>
        <v>20.491710495105014</v>
      </c>
      <c r="O39" s="40" t="s">
        <v>41</v>
      </c>
      <c r="P39" s="26">
        <f>P38/((1+D8)^A22)</f>
        <v>20.491710495105014</v>
      </c>
      <c r="Q39" s="26"/>
      <c r="R39" s="127"/>
      <c r="S39" s="128" t="s">
        <v>194</v>
      </c>
      <c r="T39" s="127">
        <f>T38/((1+D8)^A22)</f>
        <v>36.334858278556766</v>
      </c>
      <c r="W39" s="37" t="s">
        <v>180</v>
      </c>
      <c r="X39" s="32">
        <f>X38/((1+H8)^A22)</f>
        <v>20.491710495105014</v>
      </c>
      <c r="Y39" s="32"/>
      <c r="Z39" s="37" t="s">
        <v>184</v>
      </c>
      <c r="AA39" s="32">
        <f>AA38/((1+J8)^A22)</f>
        <v>9.1180210639830701</v>
      </c>
    </row>
    <row r="40" spans="1:27" ht="18" x14ac:dyDescent="0.35">
      <c r="C40" s="1"/>
      <c r="D40" s="5"/>
      <c r="E40" s="5"/>
      <c r="G40" s="38" t="s">
        <v>50</v>
      </c>
      <c r="H40" s="50">
        <f>H39/((1+E34)^A33)</f>
        <v>-52.94393083032729</v>
      </c>
      <c r="J40" s="48"/>
      <c r="K40" s="51" t="s">
        <v>54</v>
      </c>
      <c r="L40" s="47">
        <f>L37+L39</f>
        <v>38.531999999999712</v>
      </c>
      <c r="O40" s="40" t="s">
        <v>40</v>
      </c>
      <c r="P40" s="26">
        <f>P39+P37</f>
        <v>38.531999999999712</v>
      </c>
      <c r="Q40" s="26"/>
      <c r="R40" s="127"/>
      <c r="S40" s="128" t="s">
        <v>40</v>
      </c>
      <c r="T40" s="127">
        <f>T39+T37</f>
        <v>54.37514778345146</v>
      </c>
      <c r="W40" s="37" t="s">
        <v>181</v>
      </c>
      <c r="X40" s="32">
        <f>X37+X39</f>
        <v>38.531999999999712</v>
      </c>
      <c r="Y40" s="32"/>
      <c r="Z40" s="37" t="s">
        <v>185</v>
      </c>
      <c r="AA40" s="32">
        <f>AA37+AA39</f>
        <v>15.639164441499377</v>
      </c>
    </row>
    <row r="41" spans="1:27" ht="18" x14ac:dyDescent="0.35">
      <c r="G41" s="38" t="s">
        <v>51</v>
      </c>
      <c r="H41" s="50">
        <f>H38+H40+H37</f>
        <v>28.49382556344564</v>
      </c>
      <c r="W41" s="132" t="s">
        <v>186</v>
      </c>
      <c r="X41" s="55">
        <f>X40+AA40</f>
        <v>54.171164441499087</v>
      </c>
    </row>
    <row r="44" spans="1:27" x14ac:dyDescent="0.25">
      <c r="W44" s="111"/>
    </row>
    <row r="45" spans="1:27" x14ac:dyDescent="0.25">
      <c r="H45" s="26"/>
    </row>
    <row r="46" spans="1:27" x14ac:dyDescent="0.25">
      <c r="H46" s="26"/>
    </row>
    <row r="47" spans="1:27" x14ac:dyDescent="0.25">
      <c r="H47" s="26"/>
    </row>
  </sheetData>
  <mergeCells count="16">
    <mergeCell ref="A8:C8"/>
    <mergeCell ref="A9:C9"/>
    <mergeCell ref="A11:C11"/>
    <mergeCell ref="F11:H11"/>
    <mergeCell ref="AB18:AB23"/>
    <mergeCell ref="B26:H26"/>
    <mergeCell ref="J26:L26"/>
    <mergeCell ref="V26:AA26"/>
    <mergeCell ref="N26:P26"/>
    <mergeCell ref="R26:T26"/>
    <mergeCell ref="A7:C7"/>
    <mergeCell ref="A1:AD1"/>
    <mergeCell ref="A2:AD2"/>
    <mergeCell ref="A5:C5"/>
    <mergeCell ref="F5:H5"/>
    <mergeCell ref="A6:C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zoomScale="150" zoomScaleNormal="150" workbookViewId="0">
      <selection activeCell="F21" sqref="F21"/>
    </sheetView>
  </sheetViews>
  <sheetFormatPr defaultRowHeight="15" x14ac:dyDescent="0.25"/>
  <cols>
    <col min="1" max="2" width="17.7109375" customWidth="1"/>
    <col min="3" max="4" width="15.7109375" customWidth="1"/>
    <col min="5" max="6" width="17.7109375" customWidth="1"/>
    <col min="7" max="9" width="15.7109375" customWidth="1"/>
    <col min="10" max="10" width="17.7109375" customWidth="1"/>
    <col min="12" max="12" width="12.7109375" customWidth="1"/>
  </cols>
  <sheetData>
    <row r="2" spans="1:9" ht="17.25" x14ac:dyDescent="0.25">
      <c r="A2" s="165" t="s">
        <v>218</v>
      </c>
      <c r="B2" s="165"/>
      <c r="C2" s="165"/>
      <c r="D2" s="165"/>
      <c r="E2" s="165"/>
    </row>
    <row r="4" spans="1:9" ht="30" x14ac:dyDescent="0.25">
      <c r="B4" s="166" t="s">
        <v>219</v>
      </c>
      <c r="C4" s="136" t="s">
        <v>220</v>
      </c>
      <c r="D4" s="137" t="s">
        <v>221</v>
      </c>
      <c r="E4" s="137" t="s">
        <v>222</v>
      </c>
    </row>
    <row r="5" spans="1:9" x14ac:dyDescent="0.25">
      <c r="B5" s="167">
        <v>0.05</v>
      </c>
      <c r="C5" s="168">
        <v>350000</v>
      </c>
      <c r="D5" s="106">
        <f>E22</f>
        <v>136500</v>
      </c>
      <c r="E5" s="5">
        <f>D5/C5</f>
        <v>0.39</v>
      </c>
    </row>
    <row r="7" spans="1:9" x14ac:dyDescent="0.25">
      <c r="A7" s="168"/>
      <c r="B7" s="168"/>
      <c r="C7" s="168"/>
      <c r="D7" s="138"/>
      <c r="E7" s="106"/>
      <c r="F7" s="138"/>
      <c r="G7" s="168"/>
      <c r="H7" s="106"/>
      <c r="I7" s="168"/>
    </row>
    <row r="8" spans="1:9" x14ac:dyDescent="0.25">
      <c r="A8" s="168"/>
      <c r="B8" s="168"/>
      <c r="C8" s="168"/>
      <c r="D8" s="168"/>
      <c r="E8" s="168"/>
      <c r="F8" s="168"/>
      <c r="H8" s="168"/>
      <c r="I8" s="168"/>
    </row>
    <row r="9" spans="1:9" ht="30" x14ac:dyDescent="0.25">
      <c r="A9" s="136" t="s">
        <v>223</v>
      </c>
      <c r="B9" s="136" t="s">
        <v>224</v>
      </c>
      <c r="C9" s="136" t="s">
        <v>9</v>
      </c>
      <c r="D9" s="136" t="s">
        <v>225</v>
      </c>
      <c r="E9" s="136" t="s">
        <v>226</v>
      </c>
    </row>
    <row r="11" spans="1:9" x14ac:dyDescent="0.25">
      <c r="A11" s="169">
        <v>0</v>
      </c>
      <c r="B11" s="169">
        <v>50000</v>
      </c>
      <c r="C11">
        <v>0.15</v>
      </c>
      <c r="D11" s="106">
        <f>IF(C5&gt;=B11, B11*C11, C$5*C11)</f>
        <v>7500</v>
      </c>
      <c r="E11" s="106">
        <f>D11</f>
        <v>7500</v>
      </c>
    </row>
    <row r="12" spans="1:9" x14ac:dyDescent="0.25">
      <c r="A12" s="169">
        <v>50001</v>
      </c>
      <c r="B12" s="169">
        <v>75000</v>
      </c>
      <c r="C12">
        <v>0.25</v>
      </c>
      <c r="D12" s="106">
        <f t="shared" ref="D12:D17" si="0">IF(C$5&gt;=B12, ((B12-A12+1)*C12), IF(C$5 &lt; A12, 0, (C$5-A12+1)*C12))</f>
        <v>6250</v>
      </c>
      <c r="E12" s="106">
        <f>E11+D12</f>
        <v>13750</v>
      </c>
    </row>
    <row r="13" spans="1:9" x14ac:dyDescent="0.25">
      <c r="A13" s="169">
        <v>75001</v>
      </c>
      <c r="B13" s="169">
        <v>100000</v>
      </c>
      <c r="C13">
        <v>0.34</v>
      </c>
      <c r="D13" s="106">
        <f t="shared" si="0"/>
        <v>8500</v>
      </c>
      <c r="E13" s="106">
        <f t="shared" ref="E13:E18" si="1">E12+D13</f>
        <v>22250</v>
      </c>
    </row>
    <row r="14" spans="1:9" x14ac:dyDescent="0.25">
      <c r="A14" s="169">
        <v>100001</v>
      </c>
      <c r="B14" s="169">
        <v>335000</v>
      </c>
      <c r="C14">
        <v>0.39</v>
      </c>
      <c r="D14" s="106">
        <f t="shared" si="0"/>
        <v>91650</v>
      </c>
      <c r="E14" s="106">
        <f t="shared" si="1"/>
        <v>113900</v>
      </c>
    </row>
    <row r="15" spans="1:9" x14ac:dyDescent="0.25">
      <c r="A15" s="169">
        <v>335001</v>
      </c>
      <c r="B15" s="169">
        <v>10000000</v>
      </c>
      <c r="C15">
        <v>0.34</v>
      </c>
      <c r="D15" s="106">
        <f t="shared" si="0"/>
        <v>5100</v>
      </c>
      <c r="E15" s="106">
        <f t="shared" si="1"/>
        <v>119000</v>
      </c>
    </row>
    <row r="16" spans="1:9" x14ac:dyDescent="0.25">
      <c r="A16" s="169">
        <v>10000001</v>
      </c>
      <c r="B16" s="169">
        <v>15000000</v>
      </c>
      <c r="C16">
        <v>0.35</v>
      </c>
      <c r="D16" s="106">
        <f t="shared" si="0"/>
        <v>0</v>
      </c>
      <c r="E16" s="106">
        <f t="shared" si="1"/>
        <v>119000</v>
      </c>
    </row>
    <row r="17" spans="1:9" x14ac:dyDescent="0.25">
      <c r="A17" s="169">
        <v>15000001</v>
      </c>
      <c r="B17" s="169">
        <v>18333333</v>
      </c>
      <c r="C17">
        <v>0.38</v>
      </c>
      <c r="D17" s="106">
        <f t="shared" si="0"/>
        <v>0</v>
      </c>
      <c r="E17" s="106">
        <f t="shared" si="1"/>
        <v>119000</v>
      </c>
    </row>
    <row r="18" spans="1:9" x14ac:dyDescent="0.25">
      <c r="A18" s="169">
        <v>18333334</v>
      </c>
      <c r="C18">
        <v>0.35</v>
      </c>
      <c r="D18" s="106">
        <f>IF(C$5&gt;A18, ((C$5-A18+1)*C18), 0)</f>
        <v>0</v>
      </c>
      <c r="E18" s="106">
        <f t="shared" si="1"/>
        <v>119000</v>
      </c>
    </row>
    <row r="19" spans="1:9" x14ac:dyDescent="0.25">
      <c r="A19" s="169"/>
      <c r="D19" s="106"/>
      <c r="E19" s="106"/>
    </row>
    <row r="20" spans="1:9" x14ac:dyDescent="0.25">
      <c r="A20" s="170" t="s">
        <v>227</v>
      </c>
      <c r="D20" s="106"/>
      <c r="E20" s="106">
        <f>C5*B5</f>
        <v>17500</v>
      </c>
    </row>
    <row r="21" spans="1:9" x14ac:dyDescent="0.25">
      <c r="A21" s="169"/>
      <c r="D21" s="106"/>
      <c r="E21" s="106"/>
    </row>
    <row r="22" spans="1:9" x14ac:dyDescent="0.25">
      <c r="A22" s="170" t="s">
        <v>228</v>
      </c>
      <c r="D22" s="106"/>
      <c r="E22" s="106">
        <f>E18+E20</f>
        <v>136500</v>
      </c>
    </row>
    <row r="23" spans="1:9" x14ac:dyDescent="0.25">
      <c r="A23" s="26"/>
      <c r="B23" s="16"/>
      <c r="C23" s="92"/>
      <c r="I23" s="106"/>
    </row>
    <row r="24" spans="1:9" ht="17.25" x14ac:dyDescent="0.25">
      <c r="A24" s="171" t="s">
        <v>229</v>
      </c>
      <c r="B24" s="16"/>
      <c r="C24" s="92"/>
    </row>
    <row r="25" spans="1:9" x14ac:dyDescent="0.25">
      <c r="A25" s="26"/>
      <c r="B25" s="16"/>
      <c r="C25" s="92"/>
    </row>
  </sheetData>
  <mergeCells count="1">
    <mergeCell ref="A2:E2"/>
  </mergeCells>
  <pageMargins left="0.7" right="0.7" top="0.75" bottom="0.75" header="0.3" footer="0.3"/>
  <pageSetup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tabSelected="1" zoomScale="150" zoomScaleNormal="150" workbookViewId="0">
      <selection activeCell="B5" sqref="B5"/>
    </sheetView>
  </sheetViews>
  <sheetFormatPr defaultRowHeight="15" x14ac:dyDescent="0.25"/>
  <cols>
    <col min="1" max="2" width="17.7109375" customWidth="1"/>
    <col min="3" max="4" width="15.7109375" customWidth="1"/>
    <col min="5" max="6" width="17.7109375" customWidth="1"/>
    <col min="7" max="9" width="15.7109375" customWidth="1"/>
    <col min="10" max="10" width="17.7109375" customWidth="1"/>
    <col min="12" max="12" width="12.7109375" customWidth="1"/>
  </cols>
  <sheetData>
    <row r="2" spans="1:9" ht="17.25" x14ac:dyDescent="0.25">
      <c r="A2" s="165" t="s">
        <v>218</v>
      </c>
      <c r="B2" s="165"/>
      <c r="C2" s="165"/>
      <c r="D2" s="165"/>
      <c r="E2" s="165"/>
    </row>
    <row r="4" spans="1:9" ht="30" x14ac:dyDescent="0.25">
      <c r="B4" s="166" t="s">
        <v>219</v>
      </c>
      <c r="C4" s="136" t="s">
        <v>220</v>
      </c>
      <c r="D4" s="137" t="s">
        <v>221</v>
      </c>
      <c r="E4" s="137" t="s">
        <v>222</v>
      </c>
    </row>
    <row r="5" spans="1:9" x14ac:dyDescent="0.25">
      <c r="B5" s="167">
        <v>0.05</v>
      </c>
      <c r="C5" s="168">
        <v>350000</v>
      </c>
      <c r="D5" s="106">
        <f>E22</f>
        <v>91000</v>
      </c>
      <c r="E5" s="5">
        <f>D5/C5</f>
        <v>0.26</v>
      </c>
    </row>
    <row r="7" spans="1:9" x14ac:dyDescent="0.25">
      <c r="A7" s="168"/>
      <c r="B7" s="168"/>
      <c r="C7" s="168"/>
      <c r="D7" s="138"/>
      <c r="E7" s="106"/>
      <c r="F7" s="138"/>
      <c r="G7" s="168"/>
      <c r="H7" s="106"/>
      <c r="I7" s="168"/>
    </row>
    <row r="8" spans="1:9" x14ac:dyDescent="0.25">
      <c r="A8" s="168"/>
      <c r="B8" s="168"/>
      <c r="C8" s="168"/>
      <c r="D8" s="168"/>
      <c r="E8" s="168"/>
      <c r="F8" s="168"/>
      <c r="H8" s="168"/>
      <c r="I8" s="168"/>
    </row>
    <row r="9" spans="1:9" ht="30" x14ac:dyDescent="0.25">
      <c r="A9" s="136" t="s">
        <v>223</v>
      </c>
      <c r="B9" s="136" t="s">
        <v>224</v>
      </c>
      <c r="C9" s="136" t="s">
        <v>9</v>
      </c>
      <c r="D9" s="136" t="s">
        <v>225</v>
      </c>
      <c r="E9" s="136" t="s">
        <v>226</v>
      </c>
    </row>
    <row r="11" spans="1:9" x14ac:dyDescent="0.25">
      <c r="A11" s="169">
        <v>0</v>
      </c>
      <c r="B11" s="169">
        <v>50000</v>
      </c>
      <c r="C11">
        <v>0.21</v>
      </c>
      <c r="D11" s="106">
        <f>IF(C5&gt;=B11, B11*C11, C$5*C11)</f>
        <v>10500</v>
      </c>
      <c r="E11" s="106">
        <f>D11</f>
        <v>10500</v>
      </c>
    </row>
    <row r="12" spans="1:9" x14ac:dyDescent="0.25">
      <c r="A12" s="169">
        <v>50001</v>
      </c>
      <c r="B12" s="169">
        <v>75000</v>
      </c>
      <c r="C12">
        <v>0.21</v>
      </c>
      <c r="D12" s="106">
        <f t="shared" ref="D12:D17" si="0">IF(C$5&gt;=B12, ((B12-A12+1)*C12), IF(C$5 &lt; A12, 0, (C$5-A12+1)*C12))</f>
        <v>5250</v>
      </c>
      <c r="E12" s="106">
        <f>E11+D12</f>
        <v>15750</v>
      </c>
    </row>
    <row r="13" spans="1:9" x14ac:dyDescent="0.25">
      <c r="A13" s="169">
        <v>75001</v>
      </c>
      <c r="B13" s="169">
        <v>100000</v>
      </c>
      <c r="C13">
        <v>0.21</v>
      </c>
      <c r="D13" s="106">
        <f t="shared" si="0"/>
        <v>5250</v>
      </c>
      <c r="E13" s="106">
        <f t="shared" ref="E13:E18" si="1">E12+D13</f>
        <v>21000</v>
      </c>
    </row>
    <row r="14" spans="1:9" x14ac:dyDescent="0.25">
      <c r="A14" s="169">
        <v>100001</v>
      </c>
      <c r="B14" s="169">
        <v>335000</v>
      </c>
      <c r="C14">
        <v>0.21</v>
      </c>
      <c r="D14" s="106">
        <f t="shared" si="0"/>
        <v>49350</v>
      </c>
      <c r="E14" s="106">
        <f t="shared" si="1"/>
        <v>70350</v>
      </c>
    </row>
    <row r="15" spans="1:9" x14ac:dyDescent="0.25">
      <c r="A15" s="169">
        <v>335001</v>
      </c>
      <c r="B15" s="169">
        <v>10000000</v>
      </c>
      <c r="C15">
        <v>0.21</v>
      </c>
      <c r="D15" s="106">
        <f t="shared" si="0"/>
        <v>3150</v>
      </c>
      <c r="E15" s="106">
        <f t="shared" si="1"/>
        <v>73500</v>
      </c>
    </row>
    <row r="16" spans="1:9" x14ac:dyDescent="0.25">
      <c r="A16" s="169">
        <v>10000001</v>
      </c>
      <c r="B16" s="169">
        <v>15000000</v>
      </c>
      <c r="C16">
        <v>0.21</v>
      </c>
      <c r="D16" s="106">
        <f t="shared" si="0"/>
        <v>0</v>
      </c>
      <c r="E16" s="106">
        <f t="shared" si="1"/>
        <v>73500</v>
      </c>
    </row>
    <row r="17" spans="1:9" x14ac:dyDescent="0.25">
      <c r="A17" s="169">
        <v>15000001</v>
      </c>
      <c r="B17" s="169">
        <v>18333333</v>
      </c>
      <c r="C17">
        <v>0.21</v>
      </c>
      <c r="D17" s="106">
        <f t="shared" si="0"/>
        <v>0</v>
      </c>
      <c r="E17" s="106">
        <f t="shared" si="1"/>
        <v>73500</v>
      </c>
    </row>
    <row r="18" spans="1:9" x14ac:dyDescent="0.25">
      <c r="A18" s="169">
        <v>18333334</v>
      </c>
      <c r="C18">
        <v>0.21</v>
      </c>
      <c r="D18" s="106">
        <f>IF(C$5&gt;A18, ((C$5-A18+1)*C18), 0)</f>
        <v>0</v>
      </c>
      <c r="E18" s="106">
        <f t="shared" si="1"/>
        <v>73500</v>
      </c>
    </row>
    <row r="19" spans="1:9" x14ac:dyDescent="0.25">
      <c r="A19" s="169"/>
      <c r="D19" s="106"/>
      <c r="E19" s="106"/>
    </row>
    <row r="20" spans="1:9" x14ac:dyDescent="0.25">
      <c r="A20" s="170" t="s">
        <v>227</v>
      </c>
      <c r="D20" s="106"/>
      <c r="E20" s="106">
        <f>C5*B5</f>
        <v>17500</v>
      </c>
    </row>
    <row r="21" spans="1:9" x14ac:dyDescent="0.25">
      <c r="A21" s="169"/>
      <c r="D21" s="106"/>
      <c r="E21" s="106"/>
    </row>
    <row r="22" spans="1:9" x14ac:dyDescent="0.25">
      <c r="A22" s="170" t="s">
        <v>228</v>
      </c>
      <c r="D22" s="106"/>
      <c r="E22" s="106">
        <f>E18+E20</f>
        <v>91000</v>
      </c>
    </row>
    <row r="23" spans="1:9" x14ac:dyDescent="0.25">
      <c r="A23" s="26"/>
      <c r="B23" s="16"/>
      <c r="C23" s="92"/>
      <c r="I23" s="106"/>
    </row>
    <row r="24" spans="1:9" ht="17.25" x14ac:dyDescent="0.25">
      <c r="A24" s="171" t="s">
        <v>229</v>
      </c>
      <c r="B24" s="16"/>
      <c r="C24" s="92"/>
    </row>
    <row r="25" spans="1:9" x14ac:dyDescent="0.25">
      <c r="A25" s="26"/>
      <c r="B25" s="16"/>
      <c r="C25" s="92"/>
    </row>
  </sheetData>
  <mergeCells count="1">
    <mergeCell ref="A2:E2"/>
  </mergeCells>
  <pageMargins left="0.7" right="0.7"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Fin Stmt</vt:lpstr>
      <vt:lpstr>WACC - Book Val</vt:lpstr>
      <vt:lpstr>WACC - Quasi Mkt Val</vt:lpstr>
      <vt:lpstr>WACC - Mkt Val</vt:lpstr>
      <vt:lpstr>Hurdle Rate</vt:lpstr>
      <vt:lpstr>Pre 2018 Tax</vt:lpstr>
      <vt:lpstr>2018  Tax Act</vt:lpstr>
    </vt:vector>
  </TitlesOfParts>
  <Company>Westminster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Richard Haskell</cp:lastModifiedBy>
  <dcterms:created xsi:type="dcterms:W3CDTF">2015-09-15T14:34:05Z</dcterms:created>
  <dcterms:modified xsi:type="dcterms:W3CDTF">2019-02-19T17:32:42Z</dcterms:modified>
</cp:coreProperties>
</file>