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askell\OneDrive - Westminster College\EXCEL TEMPLATES\"/>
    </mc:Choice>
  </mc:AlternateContent>
  <bookViews>
    <workbookView xWindow="0" yWindow="0" windowWidth="28800" windowHeight="12300" activeTab="1"/>
  </bookViews>
  <sheets>
    <sheet name="Fin Stmt" sheetId="9" r:id="rId1"/>
    <sheet name="VAL without Adjusts" sheetId="10" r:id="rId2"/>
    <sheet name="VAL with Adjusts" sheetId="12" r:id="rId3"/>
    <sheet name="VAL without Adjusts -simplified" sheetId="13" r:id="rId4"/>
    <sheet name="Pre 2018 Tax" sheetId="14" r:id="rId5"/>
    <sheet name="Post 2017 Tax Schedule" sheetId="1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2" l="1"/>
  <c r="S31" i="12"/>
  <c r="S30" i="12"/>
  <c r="S29" i="12"/>
  <c r="S28" i="12"/>
  <c r="T36" i="10"/>
  <c r="S31" i="10"/>
  <c r="S30" i="10"/>
  <c r="S29" i="10"/>
  <c r="S28" i="10"/>
  <c r="S27" i="10"/>
  <c r="C30" i="13"/>
  <c r="C29" i="13"/>
  <c r="C28" i="13"/>
  <c r="C27" i="13"/>
  <c r="C26" i="13"/>
  <c r="M34" i="13"/>
  <c r="J8" i="13"/>
  <c r="H8" i="13"/>
  <c r="Q36" i="12"/>
  <c r="N36" i="12"/>
  <c r="J8" i="12"/>
  <c r="H8" i="12"/>
  <c r="Q35" i="10"/>
  <c r="N35" i="10"/>
  <c r="J8" i="10"/>
  <c r="H8" i="10"/>
  <c r="D20" i="10" l="1"/>
  <c r="E20" i="15"/>
  <c r="D18" i="15"/>
  <c r="D17" i="15"/>
  <c r="D16" i="15"/>
  <c r="D15" i="15"/>
  <c r="D14" i="15"/>
  <c r="D13" i="15"/>
  <c r="D12" i="15"/>
  <c r="D11" i="15"/>
  <c r="E11" i="15" s="1"/>
  <c r="E20" i="14"/>
  <c r="D18" i="14"/>
  <c r="D17" i="14"/>
  <c r="D16" i="14"/>
  <c r="D15" i="14"/>
  <c r="D14" i="14"/>
  <c r="D13" i="14"/>
  <c r="D12" i="14"/>
  <c r="D11" i="14"/>
  <c r="E11" i="14" s="1"/>
  <c r="E12" i="14" s="1"/>
  <c r="E13" i="14" s="1"/>
  <c r="E14" i="14" s="1"/>
  <c r="E15" i="14" s="1"/>
  <c r="E16" i="14" s="1"/>
  <c r="E17" i="14" s="1"/>
  <c r="E18" i="14" s="1"/>
  <c r="E22" i="14" s="1"/>
  <c r="D5" i="14" s="1"/>
  <c r="E5" i="14" s="1"/>
  <c r="E12" i="15" l="1"/>
  <c r="E13" i="15" s="1"/>
  <c r="E14" i="15"/>
  <c r="E15" i="15" s="1"/>
  <c r="E16" i="15" s="1"/>
  <c r="E17" i="15" s="1"/>
  <c r="E18" i="15" s="1"/>
  <c r="E22" i="15" s="1"/>
  <c r="D5" i="15" s="1"/>
  <c r="E5" i="15" s="1"/>
  <c r="K41" i="9" l="1"/>
  <c r="N14" i="12" l="1"/>
  <c r="M15" i="12"/>
  <c r="M16" i="12" s="1"/>
  <c r="M17" i="12" s="1"/>
  <c r="L15" i="12"/>
  <c r="L16" i="12" s="1"/>
  <c r="L17" i="12" s="1"/>
  <c r="M14" i="12"/>
  <c r="L14" i="12"/>
  <c r="D15" i="12"/>
  <c r="D16" i="12" s="1"/>
  <c r="D17" i="12" s="1"/>
  <c r="D18" i="12" s="1"/>
  <c r="D19" i="12" s="1"/>
  <c r="E13" i="13" l="1"/>
  <c r="A15" i="13"/>
  <c r="A16" i="13" s="1"/>
  <c r="A17" i="13" s="1"/>
  <c r="A18" i="13" s="1"/>
  <c r="H13" i="13"/>
  <c r="F13" i="13"/>
  <c r="B13" i="13"/>
  <c r="O9" i="13"/>
  <c r="D21" i="13" s="1"/>
  <c r="D8" i="13"/>
  <c r="D7" i="13"/>
  <c r="A6" i="13"/>
  <c r="J4" i="13"/>
  <c r="I4" i="13"/>
  <c r="N25" i="13" l="1"/>
  <c r="B14" i="13"/>
  <c r="B15" i="13" l="1"/>
  <c r="B16" i="13" l="1"/>
  <c r="D5" i="12"/>
  <c r="B17" i="13" l="1"/>
  <c r="B18" i="13" l="1"/>
  <c r="B19" i="13" l="1"/>
  <c r="K60" i="9" l="1"/>
  <c r="O6" i="12"/>
  <c r="K27" i="9" l="1"/>
  <c r="J27" i="9"/>
  <c r="F27" i="9"/>
  <c r="E27" i="9"/>
  <c r="P6" i="9" l="1"/>
  <c r="O6" i="9"/>
  <c r="A6" i="10" l="1"/>
  <c r="A6" i="12"/>
  <c r="A16" i="12"/>
  <c r="A17" i="12" s="1"/>
  <c r="A18" i="12" s="1"/>
  <c r="A19" i="12" s="1"/>
  <c r="I14" i="12"/>
  <c r="G14" i="12"/>
  <c r="F14" i="12"/>
  <c r="E14" i="12"/>
  <c r="B14" i="12"/>
  <c r="B15" i="12" s="1"/>
  <c r="O9" i="12"/>
  <c r="D8" i="12"/>
  <c r="D7" i="12"/>
  <c r="J4" i="12"/>
  <c r="I4" i="12"/>
  <c r="K35" i="9"/>
  <c r="J35" i="9"/>
  <c r="O27" i="12" l="1"/>
  <c r="B28" i="12"/>
  <c r="B16" i="12"/>
  <c r="B27" i="12"/>
  <c r="B29" i="12" l="1"/>
  <c r="B17" i="12"/>
  <c r="B30" i="12" l="1"/>
  <c r="B18" i="12"/>
  <c r="B31" i="12" l="1"/>
  <c r="B19" i="12"/>
  <c r="B32" i="12" l="1"/>
  <c r="B20" i="12"/>
  <c r="B33" i="12" s="1"/>
  <c r="K44" i="9" l="1"/>
  <c r="O9" i="10"/>
  <c r="D22" i="10" s="1"/>
  <c r="J4" i="10"/>
  <c r="I4" i="10"/>
  <c r="B14" i="10"/>
  <c r="P10" i="9" l="1"/>
  <c r="D13" i="13" s="1"/>
  <c r="O10" i="9"/>
  <c r="D14" i="12" l="1"/>
  <c r="D8" i="10"/>
  <c r="D7" i="10"/>
  <c r="F22" i="12" l="1"/>
  <c r="K14" i="12"/>
  <c r="E22" i="12"/>
  <c r="H14" i="12"/>
  <c r="G22" i="12"/>
  <c r="G15" i="12" s="1"/>
  <c r="G13" i="13"/>
  <c r="J13" i="13" s="1"/>
  <c r="F21" i="13"/>
  <c r="E21" i="13"/>
  <c r="D14" i="13"/>
  <c r="I14" i="10"/>
  <c r="O26" i="10" s="1"/>
  <c r="G14" i="10"/>
  <c r="F14" i="10"/>
  <c r="E14" i="10"/>
  <c r="E14" i="13" l="1"/>
  <c r="F14" i="13"/>
  <c r="D15" i="13"/>
  <c r="E15" i="13" s="1"/>
  <c r="G16" i="12"/>
  <c r="B26" i="10"/>
  <c r="A16" i="10"/>
  <c r="A17" i="10" s="1"/>
  <c r="A18" i="10" s="1"/>
  <c r="A19" i="10" s="1"/>
  <c r="B15" i="10"/>
  <c r="B27" i="10" s="1"/>
  <c r="K58" i="9"/>
  <c r="K56" i="9"/>
  <c r="K59" i="9" s="1"/>
  <c r="K61" i="9" s="1"/>
  <c r="J64" i="9" s="1"/>
  <c r="G14" i="13" l="1"/>
  <c r="J14" i="13" s="1"/>
  <c r="F15" i="13"/>
  <c r="G15" i="13" s="1"/>
  <c r="J15" i="13" s="1"/>
  <c r="D16" i="13"/>
  <c r="G17" i="12"/>
  <c r="B16" i="10"/>
  <c r="B28" i="10" s="1"/>
  <c r="K46" i="9"/>
  <c r="E45" i="9"/>
  <c r="E35" i="9"/>
  <c r="D35" i="9"/>
  <c r="F30" i="9"/>
  <c r="E30" i="9"/>
  <c r="K28" i="9"/>
  <c r="J28" i="9"/>
  <c r="J32" i="9" s="1"/>
  <c r="P22" i="9"/>
  <c r="O22" i="9"/>
  <c r="J21" i="9"/>
  <c r="P16" i="9"/>
  <c r="P18" i="9" s="1"/>
  <c r="O16" i="9"/>
  <c r="O18" i="9" s="1"/>
  <c r="E17" i="9"/>
  <c r="D17" i="9"/>
  <c r="K15" i="9"/>
  <c r="J15" i="9"/>
  <c r="D14" i="10"/>
  <c r="E11" i="9"/>
  <c r="D11" i="9"/>
  <c r="K10" i="9"/>
  <c r="J10" i="9"/>
  <c r="K6" i="9"/>
  <c r="J6" i="9"/>
  <c r="M18" i="12" l="1"/>
  <c r="M19" i="12" s="1"/>
  <c r="L13" i="13"/>
  <c r="L14" i="13" s="1"/>
  <c r="L15" i="13" s="1"/>
  <c r="L16" i="13" s="1"/>
  <c r="L17" i="13" s="1"/>
  <c r="L18" i="13" s="1"/>
  <c r="L19" i="13" s="1"/>
  <c r="M14" i="10"/>
  <c r="I5" i="12"/>
  <c r="I22" i="12" s="1"/>
  <c r="I5" i="13"/>
  <c r="H21" i="13" s="1"/>
  <c r="H14" i="13" s="1"/>
  <c r="N26" i="13" s="1"/>
  <c r="E32" i="9"/>
  <c r="J5" i="12"/>
  <c r="J5" i="13"/>
  <c r="C13" i="13" s="1"/>
  <c r="F32" i="9"/>
  <c r="D17" i="13"/>
  <c r="F16" i="13"/>
  <c r="E16" i="13"/>
  <c r="D15" i="10"/>
  <c r="D20" i="12"/>
  <c r="G18" i="12"/>
  <c r="J66" i="9"/>
  <c r="K45" i="9"/>
  <c r="B17" i="10"/>
  <c r="B18" i="10" s="1"/>
  <c r="J23" i="9"/>
  <c r="O24" i="9"/>
  <c r="O38" i="9" s="1"/>
  <c r="P24" i="9"/>
  <c r="P38" i="9" s="1"/>
  <c r="D6" i="13" s="1"/>
  <c r="G22" i="10"/>
  <c r="K14" i="10"/>
  <c r="E22" i="10"/>
  <c r="F22" i="10"/>
  <c r="H14" i="10"/>
  <c r="I5" i="10"/>
  <c r="I22" i="10" s="1"/>
  <c r="J37" i="9"/>
  <c r="D36" i="9"/>
  <c r="E44" i="9"/>
  <c r="E43" i="9" s="1"/>
  <c r="E40" i="9"/>
  <c r="D38" i="9"/>
  <c r="D23" i="9"/>
  <c r="D50" i="9" s="1"/>
  <c r="J38" i="9"/>
  <c r="E38" i="9"/>
  <c r="K38" i="9"/>
  <c r="E23" i="9"/>
  <c r="J5" i="10"/>
  <c r="C14" i="10" s="1"/>
  <c r="O26" i="9"/>
  <c r="D53" i="9" s="1"/>
  <c r="K32" i="9"/>
  <c r="E36" i="9"/>
  <c r="K36" i="9" s="1"/>
  <c r="G16" i="13" l="1"/>
  <c r="J16" i="13" s="1"/>
  <c r="D18" i="13"/>
  <c r="F17" i="13"/>
  <c r="E17" i="13"/>
  <c r="D39" i="9"/>
  <c r="D37" i="9"/>
  <c r="J14" i="12"/>
  <c r="O14" i="12" s="1"/>
  <c r="I13" i="13"/>
  <c r="K40" i="9"/>
  <c r="K42" i="9" s="1"/>
  <c r="D11" i="13"/>
  <c r="P44" i="9"/>
  <c r="P43" i="9"/>
  <c r="K13" i="13"/>
  <c r="L14" i="10"/>
  <c r="L15" i="10" s="1"/>
  <c r="L16" i="10" s="1"/>
  <c r="L17" i="10" s="1"/>
  <c r="L18" i="10" s="1"/>
  <c r="L19" i="10" s="1"/>
  <c r="L20" i="10" s="1"/>
  <c r="N14" i="10"/>
  <c r="R26" i="10" s="1"/>
  <c r="D16" i="10"/>
  <c r="D17" i="10" s="1"/>
  <c r="D18" i="10" s="1"/>
  <c r="D19" i="10" s="1"/>
  <c r="M15" i="10"/>
  <c r="M16" i="10" s="1"/>
  <c r="M17" i="10" s="1"/>
  <c r="M18" i="10" s="1"/>
  <c r="M19" i="10" s="1"/>
  <c r="M20" i="10" s="1"/>
  <c r="G19" i="12"/>
  <c r="I15" i="10"/>
  <c r="O27" i="10" s="1"/>
  <c r="I11" i="12"/>
  <c r="D6" i="10"/>
  <c r="D6" i="12"/>
  <c r="B29" i="10"/>
  <c r="E41" i="9"/>
  <c r="F15" i="10"/>
  <c r="J65" i="9"/>
  <c r="E15" i="10"/>
  <c r="G15" i="10"/>
  <c r="J36" i="9"/>
  <c r="J39" i="9" s="1"/>
  <c r="D49" i="9"/>
  <c r="J14" i="10"/>
  <c r="B19" i="10"/>
  <c r="B30" i="10"/>
  <c r="E37" i="9"/>
  <c r="E39" i="9"/>
  <c r="E42" i="9" s="1"/>
  <c r="D48" i="9"/>
  <c r="D46" i="9"/>
  <c r="D55" i="9" s="1"/>
  <c r="J31" i="9"/>
  <c r="J30" i="9" s="1"/>
  <c r="O33" i="9"/>
  <c r="D54" i="9" s="1"/>
  <c r="D52" i="9"/>
  <c r="D47" i="9"/>
  <c r="D56" i="9" s="1"/>
  <c r="E49" i="9"/>
  <c r="P26" i="9"/>
  <c r="E53" i="9" s="1"/>
  <c r="G17" i="13" l="1"/>
  <c r="J17" i="13" s="1"/>
  <c r="D11" i="12"/>
  <c r="E35" i="12"/>
  <c r="K14" i="13"/>
  <c r="M13" i="13"/>
  <c r="I11" i="13"/>
  <c r="N13" i="13"/>
  <c r="D19" i="13"/>
  <c r="E18" i="13"/>
  <c r="F18" i="13"/>
  <c r="I11" i="10"/>
  <c r="J15" i="10" s="1"/>
  <c r="D11" i="10"/>
  <c r="J15" i="12"/>
  <c r="J16" i="12"/>
  <c r="J17" i="12"/>
  <c r="J18" i="12"/>
  <c r="J20" i="12"/>
  <c r="G20" i="12"/>
  <c r="J19" i="12"/>
  <c r="E34" i="10"/>
  <c r="D51" i="9"/>
  <c r="H15" i="10"/>
  <c r="J67" i="9"/>
  <c r="O14" i="10"/>
  <c r="G16" i="10"/>
  <c r="E16" i="10"/>
  <c r="F16" i="10"/>
  <c r="K15" i="10"/>
  <c r="N15" i="10" s="1"/>
  <c r="F26" i="10"/>
  <c r="L26" i="10"/>
  <c r="I26" i="10"/>
  <c r="B31" i="10"/>
  <c r="B20" i="10"/>
  <c r="B32" i="10" s="1"/>
  <c r="P33" i="9"/>
  <c r="E48" i="9"/>
  <c r="E46" i="9"/>
  <c r="K31" i="9"/>
  <c r="K30" i="9" s="1"/>
  <c r="G18" i="13" l="1"/>
  <c r="J18" i="13" s="1"/>
  <c r="K20" i="9"/>
  <c r="E54" i="9"/>
  <c r="I14" i="13"/>
  <c r="I15" i="13"/>
  <c r="I16" i="13"/>
  <c r="I17" i="13"/>
  <c r="E25" i="13"/>
  <c r="B25" i="13"/>
  <c r="K25" i="13"/>
  <c r="H25" i="13"/>
  <c r="I19" i="13"/>
  <c r="E19" i="13"/>
  <c r="F19" i="13"/>
  <c r="E55" i="9"/>
  <c r="I18" i="13"/>
  <c r="C18" i="13" s="1"/>
  <c r="H19" i="13" s="1"/>
  <c r="N31" i="13" s="1"/>
  <c r="K15" i="13"/>
  <c r="M14" i="13"/>
  <c r="C17" i="12"/>
  <c r="C16" i="12"/>
  <c r="C18" i="12"/>
  <c r="C19" i="12"/>
  <c r="C20" i="12"/>
  <c r="C15" i="12"/>
  <c r="K16" i="10"/>
  <c r="N16" i="10" s="1"/>
  <c r="J16" i="10"/>
  <c r="H16" i="10"/>
  <c r="O15" i="10"/>
  <c r="R27" i="10"/>
  <c r="K64" i="9"/>
  <c r="K66" i="9"/>
  <c r="J17" i="10"/>
  <c r="E17" i="10"/>
  <c r="G17" i="10"/>
  <c r="F17" i="10"/>
  <c r="C15" i="10"/>
  <c r="I16" i="10" s="1"/>
  <c r="O28" i="10" s="1"/>
  <c r="K65" i="9"/>
  <c r="G19" i="13" l="1"/>
  <c r="D34" i="13" s="1"/>
  <c r="N18" i="13"/>
  <c r="C16" i="13"/>
  <c r="H17" i="13" s="1"/>
  <c r="N29" i="13" s="1"/>
  <c r="N16" i="13"/>
  <c r="C15" i="13"/>
  <c r="H16" i="13" s="1"/>
  <c r="N28" i="13" s="1"/>
  <c r="N15" i="13"/>
  <c r="L27" i="12"/>
  <c r="F27" i="12"/>
  <c r="I27" i="12"/>
  <c r="R27" i="12"/>
  <c r="H26" i="13"/>
  <c r="B26" i="13"/>
  <c r="E26" i="13"/>
  <c r="K26" i="13"/>
  <c r="C19" i="13"/>
  <c r="C14" i="13"/>
  <c r="H15" i="13" s="1"/>
  <c r="N27" i="13" s="1"/>
  <c r="N14" i="13"/>
  <c r="J69" i="9"/>
  <c r="K16" i="13"/>
  <c r="M15" i="13"/>
  <c r="C17" i="13"/>
  <c r="H18" i="13" s="1"/>
  <c r="N30" i="13" s="1"/>
  <c r="N17" i="13"/>
  <c r="C16" i="10"/>
  <c r="I17" i="10" s="1"/>
  <c r="O29" i="10" s="1"/>
  <c r="K67" i="9"/>
  <c r="O16" i="10"/>
  <c r="K17" i="10"/>
  <c r="N17" i="10" s="1"/>
  <c r="H17" i="10"/>
  <c r="J18" i="10"/>
  <c r="E18" i="10"/>
  <c r="F18" i="10"/>
  <c r="G18" i="10"/>
  <c r="I27" i="10"/>
  <c r="F27" i="10"/>
  <c r="L27" i="10"/>
  <c r="C17" i="10"/>
  <c r="I18" i="10" s="1"/>
  <c r="O30" i="10" s="1"/>
  <c r="K21" i="9"/>
  <c r="K37" i="9" s="1"/>
  <c r="J19" i="13" l="1"/>
  <c r="N19" i="13" s="1"/>
  <c r="J34" i="13" s="1"/>
  <c r="J35" i="13" s="1"/>
  <c r="H27" i="13"/>
  <c r="B27" i="13"/>
  <c r="E27" i="13"/>
  <c r="K27" i="13"/>
  <c r="D9" i="13"/>
  <c r="O14" i="13" s="1"/>
  <c r="D9" i="12"/>
  <c r="K17" i="13"/>
  <c r="M16" i="13"/>
  <c r="D9" i="10"/>
  <c r="M20" i="12"/>
  <c r="I28" i="10"/>
  <c r="R28" i="10"/>
  <c r="L28" i="10"/>
  <c r="F28" i="10"/>
  <c r="K18" i="10"/>
  <c r="N18" i="10" s="1"/>
  <c r="O17" i="10"/>
  <c r="H18" i="10"/>
  <c r="J19" i="10"/>
  <c r="E19" i="10"/>
  <c r="F19" i="10"/>
  <c r="G19" i="10"/>
  <c r="C18" i="10"/>
  <c r="I19" i="10" s="1"/>
  <c r="O31" i="10" s="1"/>
  <c r="K23" i="9"/>
  <c r="E50" i="9"/>
  <c r="E51" i="9" s="1"/>
  <c r="E52" i="9"/>
  <c r="E47" i="9"/>
  <c r="E56" i="9" s="1"/>
  <c r="E28" i="13" l="1"/>
  <c r="F28" i="13" s="1"/>
  <c r="H28" i="13"/>
  <c r="I28" i="13" s="1"/>
  <c r="B28" i="13"/>
  <c r="K28" i="13"/>
  <c r="L18" i="12"/>
  <c r="K18" i="13"/>
  <c r="M17" i="13"/>
  <c r="O13" i="13"/>
  <c r="O18" i="13"/>
  <c r="I27" i="13"/>
  <c r="O19" i="13"/>
  <c r="I26" i="13"/>
  <c r="J26" i="13" s="1"/>
  <c r="D35" i="13"/>
  <c r="O15" i="13"/>
  <c r="F26" i="13"/>
  <c r="G26" i="13" s="1"/>
  <c r="O16" i="13"/>
  <c r="F27" i="13"/>
  <c r="O17" i="13"/>
  <c r="P15" i="10"/>
  <c r="C27" i="10" s="1"/>
  <c r="D27" i="10" s="1"/>
  <c r="E27" i="10" s="1"/>
  <c r="P14" i="10"/>
  <c r="C26" i="10" s="1"/>
  <c r="P16" i="10"/>
  <c r="C28" i="10" s="1"/>
  <c r="D28" i="10" s="1"/>
  <c r="J27" i="10"/>
  <c r="K27" i="10" s="1"/>
  <c r="P14" i="12"/>
  <c r="C27" i="12" s="1"/>
  <c r="G28" i="10"/>
  <c r="G27" i="10"/>
  <c r="H27" i="10" s="1"/>
  <c r="J28" i="10"/>
  <c r="I29" i="10"/>
  <c r="J29" i="10" s="1"/>
  <c r="R29" i="10"/>
  <c r="L29" i="10"/>
  <c r="P17" i="10"/>
  <c r="C29" i="10" s="1"/>
  <c r="D29" i="10" s="1"/>
  <c r="F29" i="10"/>
  <c r="G29" i="10" s="1"/>
  <c r="O18" i="10"/>
  <c r="H19" i="10"/>
  <c r="K19" i="10"/>
  <c r="N19" i="10" s="1"/>
  <c r="J20" i="10"/>
  <c r="G20" i="10"/>
  <c r="E20" i="10"/>
  <c r="F20" i="10"/>
  <c r="C19" i="10"/>
  <c r="I20" i="10" s="1"/>
  <c r="O32" i="10" s="1"/>
  <c r="K39" i="9"/>
  <c r="J27" i="13" l="1"/>
  <c r="L29" i="13"/>
  <c r="H29" i="13"/>
  <c r="I29" i="13" s="1"/>
  <c r="E29" i="13"/>
  <c r="F29" i="13" s="1"/>
  <c r="B29" i="13"/>
  <c r="K29" i="13"/>
  <c r="K19" i="13"/>
  <c r="M19" i="13" s="1"/>
  <c r="M18" i="13"/>
  <c r="J28" i="13"/>
  <c r="G27" i="13"/>
  <c r="G28" i="13" s="1"/>
  <c r="L26" i="13"/>
  <c r="M26" i="13" s="1"/>
  <c r="D26" i="13"/>
  <c r="D27" i="13" s="1"/>
  <c r="D28" i="13" s="1"/>
  <c r="L27" i="13"/>
  <c r="L19" i="12"/>
  <c r="L28" i="13"/>
  <c r="E28" i="10"/>
  <c r="E29" i="10" s="1"/>
  <c r="M27" i="10"/>
  <c r="N27" i="10" s="1"/>
  <c r="K28" i="10"/>
  <c r="K29" i="10" s="1"/>
  <c r="M29" i="10"/>
  <c r="M30" i="10"/>
  <c r="T27" i="10"/>
  <c r="M28" i="10"/>
  <c r="H28" i="10"/>
  <c r="H29" i="10" s="1"/>
  <c r="P31" i="10"/>
  <c r="I30" i="10"/>
  <c r="J30" i="10" s="1"/>
  <c r="R30" i="10"/>
  <c r="P27" i="10"/>
  <c r="Q27" i="10" s="1"/>
  <c r="P28" i="10"/>
  <c r="P29" i="10"/>
  <c r="P30" i="10"/>
  <c r="P18" i="10"/>
  <c r="C30" i="10" s="1"/>
  <c r="D30" i="10" s="1"/>
  <c r="F30" i="10"/>
  <c r="G30" i="10" s="1"/>
  <c r="L30" i="10"/>
  <c r="K20" i="10"/>
  <c r="H20" i="10"/>
  <c r="T35" i="10" s="1"/>
  <c r="C20" i="10"/>
  <c r="Q36" i="10" s="1"/>
  <c r="R31" i="10"/>
  <c r="O19" i="10"/>
  <c r="N28" i="10" l="1"/>
  <c r="N29" i="10"/>
  <c r="N30" i="10" s="1"/>
  <c r="M27" i="13"/>
  <c r="M28" i="13" s="1"/>
  <c r="M29" i="13" s="1"/>
  <c r="D29" i="13"/>
  <c r="G29" i="13"/>
  <c r="L20" i="12"/>
  <c r="O26" i="13"/>
  <c r="P26" i="13" s="1"/>
  <c r="P34" i="13"/>
  <c r="P35" i="13" s="1"/>
  <c r="O30" i="13"/>
  <c r="O27" i="13"/>
  <c r="O28" i="13"/>
  <c r="O29" i="13"/>
  <c r="H31" i="13"/>
  <c r="K31" i="13"/>
  <c r="M35" i="13" s="1"/>
  <c r="B31" i="13"/>
  <c r="E31" i="13"/>
  <c r="G34" i="13" s="1"/>
  <c r="G35" i="13" s="1"/>
  <c r="J29" i="13"/>
  <c r="B30" i="13"/>
  <c r="K30" i="13"/>
  <c r="E30" i="13"/>
  <c r="F30" i="13" s="1"/>
  <c r="H30" i="13"/>
  <c r="I30" i="13" s="1"/>
  <c r="L30" i="13"/>
  <c r="E30" i="10"/>
  <c r="T28" i="10"/>
  <c r="T29" i="10" s="1"/>
  <c r="T30" i="10" s="1"/>
  <c r="T31" i="10" s="1"/>
  <c r="T34" i="10" s="1"/>
  <c r="T37" i="10" s="1"/>
  <c r="N20" i="10"/>
  <c r="H30" i="10"/>
  <c r="K30" i="10"/>
  <c r="Q28" i="10"/>
  <c r="Q29" i="10" s="1"/>
  <c r="Q30" i="10" s="1"/>
  <c r="Q31" i="10" s="1"/>
  <c r="Q34" i="10" s="1"/>
  <c r="Q37" i="10" s="1"/>
  <c r="P19" i="10"/>
  <c r="C31" i="10" s="1"/>
  <c r="D31" i="10" s="1"/>
  <c r="O20" i="10"/>
  <c r="I31" i="10"/>
  <c r="J31" i="10" s="1"/>
  <c r="F31" i="10"/>
  <c r="G31" i="10" s="1"/>
  <c r="L31" i="10"/>
  <c r="M31" i="10"/>
  <c r="N31" i="10" l="1"/>
  <c r="N34" i="10" s="1"/>
  <c r="D30" i="13"/>
  <c r="D33" i="13" s="1"/>
  <c r="D36" i="13" s="1"/>
  <c r="G30" i="13"/>
  <c r="G33" i="13" s="1"/>
  <c r="G36" i="13" s="1"/>
  <c r="M30" i="13"/>
  <c r="M33" i="13" s="1"/>
  <c r="M36" i="13" s="1"/>
  <c r="J30" i="13"/>
  <c r="J33" i="13" s="1"/>
  <c r="J36" i="13" s="1"/>
  <c r="P27" i="13"/>
  <c r="P28" i="13" s="1"/>
  <c r="P29" i="13" s="1"/>
  <c r="P30" i="13" s="1"/>
  <c r="P33" i="13" s="1"/>
  <c r="P36" i="13" s="1"/>
  <c r="E31" i="10"/>
  <c r="E35" i="10" s="1"/>
  <c r="K35" i="10"/>
  <c r="K36" i="10" s="1"/>
  <c r="H31" i="10"/>
  <c r="H34" i="10" s="1"/>
  <c r="K31" i="10"/>
  <c r="K34" i="10" s="1"/>
  <c r="L32" i="10"/>
  <c r="N36" i="10" s="1"/>
  <c r="N37" i="10" s="1"/>
  <c r="O39" i="10" s="1"/>
  <c r="R32" i="10"/>
  <c r="E36" i="10"/>
  <c r="E37" i="10" s="1"/>
  <c r="E38" i="10" s="1"/>
  <c r="P20" i="10"/>
  <c r="C32" i="10" s="1"/>
  <c r="I32" i="10"/>
  <c r="F32" i="10"/>
  <c r="H35" i="10" s="1"/>
  <c r="H36" i="10" s="1"/>
  <c r="N38" i="13" l="1"/>
  <c r="K37" i="10"/>
  <c r="H37" i="10"/>
  <c r="F19" i="12" l="1"/>
  <c r="F20" i="12"/>
  <c r="F16" i="12"/>
  <c r="F17" i="12"/>
  <c r="F18" i="12"/>
  <c r="I19" i="12"/>
  <c r="O32" i="12" s="1"/>
  <c r="P32" i="12" s="1"/>
  <c r="I16" i="12"/>
  <c r="O29" i="12" s="1"/>
  <c r="P29" i="12" s="1"/>
  <c r="I20" i="12"/>
  <c r="O33" i="12" s="1"/>
  <c r="Q37" i="12" s="1"/>
  <c r="F15" i="12"/>
  <c r="E17" i="12"/>
  <c r="E16" i="12"/>
  <c r="H16" i="12" s="1"/>
  <c r="K16" i="12"/>
  <c r="N16" i="12" s="1"/>
  <c r="I18" i="12"/>
  <c r="O31" i="12" s="1"/>
  <c r="P31" i="12" s="1"/>
  <c r="E18" i="12"/>
  <c r="H18" i="12" s="1"/>
  <c r="I17" i="12"/>
  <c r="O30" i="12" s="1"/>
  <c r="P30" i="12" s="1"/>
  <c r="E19" i="12"/>
  <c r="E20" i="12"/>
  <c r="K20" i="12" s="1"/>
  <c r="N20" i="12" s="1"/>
  <c r="I15" i="12"/>
  <c r="O28" i="12"/>
  <c r="P28" i="12"/>
  <c r="Q28" i="12" s="1"/>
  <c r="E15" i="12"/>
  <c r="K17" i="12" l="1"/>
  <c r="K19" i="12"/>
  <c r="N19" i="12" s="1"/>
  <c r="K15" i="12"/>
  <c r="N15" i="12" s="1"/>
  <c r="K18" i="12"/>
  <c r="N18" i="12" s="1"/>
  <c r="L31" i="12" s="1"/>
  <c r="O17" i="12"/>
  <c r="P17" i="12" s="1"/>
  <c r="C30" i="12" s="1"/>
  <c r="D30" i="12" s="1"/>
  <c r="N17" i="12"/>
  <c r="H20" i="12"/>
  <c r="T36" i="12" s="1"/>
  <c r="T37" i="12" s="1"/>
  <c r="H17" i="12"/>
  <c r="H19" i="12"/>
  <c r="Q29" i="12"/>
  <c r="Q30" i="12" s="1"/>
  <c r="Q31" i="12" s="1"/>
  <c r="Q32" i="12" s="1"/>
  <c r="Q35" i="12" s="1"/>
  <c r="Q38" i="12" s="1"/>
  <c r="L29" i="12"/>
  <c r="M29" i="12"/>
  <c r="F29" i="12"/>
  <c r="G29" i="12" s="1"/>
  <c r="I29" i="12"/>
  <c r="J29" i="12" s="1"/>
  <c r="R29" i="12"/>
  <c r="O19" i="12"/>
  <c r="P19" i="12" s="1"/>
  <c r="C32" i="12" s="1"/>
  <c r="D32" i="12" s="1"/>
  <c r="O20" i="12"/>
  <c r="K36" i="12" s="1"/>
  <c r="K37" i="12" s="1"/>
  <c r="H15" i="12"/>
  <c r="O16" i="12"/>
  <c r="P16" i="12" s="1"/>
  <c r="C29" i="12" s="1"/>
  <c r="D29" i="12" s="1"/>
  <c r="O18" i="12" l="1"/>
  <c r="P18" i="12" s="1"/>
  <c r="C31" i="12" s="1"/>
  <c r="D31" i="12" s="1"/>
  <c r="I31" i="12"/>
  <c r="J31" i="12" s="1"/>
  <c r="R31" i="12"/>
  <c r="F31" i="12"/>
  <c r="G31" i="12" s="1"/>
  <c r="M31" i="12"/>
  <c r="O15" i="12"/>
  <c r="P15" i="12" s="1"/>
  <c r="C28" i="12" s="1"/>
  <c r="D28" i="12" s="1"/>
  <c r="E28" i="12" s="1"/>
  <c r="E29" i="12" s="1"/>
  <c r="E30" i="12" s="1"/>
  <c r="E31" i="12" s="1"/>
  <c r="E32" i="12" s="1"/>
  <c r="E36" i="12" s="1"/>
  <c r="L30" i="12"/>
  <c r="F30" i="12"/>
  <c r="G30" i="12" s="1"/>
  <c r="M30" i="12"/>
  <c r="R30" i="12"/>
  <c r="I30" i="12"/>
  <c r="J30" i="12" s="1"/>
  <c r="L32" i="12"/>
  <c r="R32" i="12"/>
  <c r="F32" i="12"/>
  <c r="G32" i="12" s="1"/>
  <c r="M32" i="12"/>
  <c r="I32" i="12"/>
  <c r="J32" i="12" s="1"/>
  <c r="R33" i="12"/>
  <c r="F33" i="12"/>
  <c r="H36" i="12" s="1"/>
  <c r="H37" i="12" s="1"/>
  <c r="L33" i="12"/>
  <c r="N37" i="12" s="1"/>
  <c r="I33" i="12"/>
  <c r="E37" i="12"/>
  <c r="E38" i="12" s="1"/>
  <c r="P20" i="12"/>
  <c r="C33" i="12" s="1"/>
  <c r="I28" i="12"/>
  <c r="J28" i="12" s="1"/>
  <c r="K28" i="12" s="1"/>
  <c r="K29" i="12" s="1"/>
  <c r="K30" i="12" s="1"/>
  <c r="K31" i="12" s="1"/>
  <c r="F28" i="12"/>
  <c r="G28" i="12" s="1"/>
  <c r="H28" i="12" s="1"/>
  <c r="H29" i="12" s="1"/>
  <c r="L28" i="12"/>
  <c r="M28" i="12"/>
  <c r="N28" i="12" s="1"/>
  <c r="N29" i="12" s="1"/>
  <c r="R28" i="12"/>
  <c r="T28" i="12" s="1"/>
  <c r="T29" i="12" s="1"/>
  <c r="K32" i="12" l="1"/>
  <c r="K35" i="12" s="1"/>
  <c r="K38" i="12" s="1"/>
  <c r="H30" i="12"/>
  <c r="H31" i="12" s="1"/>
  <c r="H32" i="12" s="1"/>
  <c r="H35" i="12" s="1"/>
  <c r="H38" i="12" s="1"/>
  <c r="T30" i="12"/>
  <c r="T31" i="12" s="1"/>
  <c r="T32" i="12" s="1"/>
  <c r="T35" i="12" s="1"/>
  <c r="T38" i="12" s="1"/>
  <c r="E39" i="12"/>
  <c r="N30" i="12"/>
  <c r="N31" i="12" s="1"/>
  <c r="N32" i="12" s="1"/>
  <c r="N35" i="12" s="1"/>
  <c r="N38" i="12" s="1"/>
  <c r="O40" i="12" s="1"/>
</calcChain>
</file>

<file path=xl/sharedStrings.xml><?xml version="1.0" encoding="utf-8"?>
<sst xmlns="http://schemas.openxmlformats.org/spreadsheetml/2006/main" count="392" uniqueCount="197">
  <si>
    <t>Year</t>
  </si>
  <si>
    <t>Revenue</t>
  </si>
  <si>
    <t>S &amp; A Expense</t>
  </si>
  <si>
    <t>Interest Expense</t>
  </si>
  <si>
    <t>Forecast Ratios</t>
  </si>
  <si>
    <t>Interest Bearing Debt</t>
  </si>
  <si>
    <t>Debt</t>
  </si>
  <si>
    <t>ROIC</t>
  </si>
  <si>
    <t>NOPLAT</t>
  </si>
  <si>
    <t>Invested Capital</t>
  </si>
  <si>
    <t>FCF</t>
  </si>
  <si>
    <t>∆ NWC</t>
  </si>
  <si>
    <t>COGS</t>
  </si>
  <si>
    <t>WACC =</t>
  </si>
  <si>
    <r>
      <t>V</t>
    </r>
    <r>
      <rPr>
        <b/>
        <vertAlign val="subscript"/>
        <sz val="11"/>
        <color rgb="FF7030A0"/>
        <rFont val="Calibri"/>
        <family val="2"/>
        <scheme val="minor"/>
      </rPr>
      <t>FCF</t>
    </r>
  </si>
  <si>
    <r>
      <t>V</t>
    </r>
    <r>
      <rPr>
        <b/>
        <vertAlign val="subscript"/>
        <sz val="11"/>
        <color rgb="FF7030A0"/>
        <rFont val="Calibri"/>
        <family val="2"/>
        <scheme val="minor"/>
      </rPr>
      <t>TAX</t>
    </r>
  </si>
  <si>
    <t>APV</t>
  </si>
  <si>
    <r>
      <t>PV</t>
    </r>
    <r>
      <rPr>
        <b/>
        <vertAlign val="subscript"/>
        <sz val="11"/>
        <color rgb="FFFF0000"/>
        <rFont val="Calibri"/>
        <family val="2"/>
        <scheme val="minor"/>
      </rPr>
      <t>EXPLICIT</t>
    </r>
  </si>
  <si>
    <t>Forecasting ROIC and Value</t>
  </si>
  <si>
    <t>Farm Hill Group, Ltd.</t>
  </si>
  <si>
    <t>Econ Profit</t>
  </si>
  <si>
    <t>EBIT</t>
  </si>
  <si>
    <r>
      <t>k</t>
    </r>
    <r>
      <rPr>
        <vertAlign val="subscript"/>
        <sz val="11"/>
        <color theme="1"/>
        <rFont val="Calibri"/>
        <family val="2"/>
        <scheme val="minor"/>
      </rPr>
      <t>TAX</t>
    </r>
  </si>
  <si>
    <r>
      <t>PV</t>
    </r>
    <r>
      <rPr>
        <b/>
        <vertAlign val="subscript"/>
        <sz val="11"/>
        <color rgb="FFFF0000"/>
        <rFont val="Calibri"/>
        <family val="2"/>
        <scheme val="minor"/>
      </rPr>
      <t>ECON</t>
    </r>
    <r>
      <rPr>
        <b/>
        <vertAlign val="subscript"/>
        <sz val="11"/>
        <color rgb="FFFF0000"/>
        <rFont val="Calibri"/>
        <family val="2"/>
      </rPr>
      <t>π</t>
    </r>
  </si>
  <si>
    <r>
      <t>Total PV</t>
    </r>
    <r>
      <rPr>
        <b/>
        <vertAlign val="subscript"/>
        <sz val="11"/>
        <color rgb="FFFF0000"/>
        <rFont val="Calibri"/>
        <family val="2"/>
        <scheme val="minor"/>
      </rPr>
      <t>ECON</t>
    </r>
    <r>
      <rPr>
        <b/>
        <vertAlign val="subscript"/>
        <sz val="11"/>
        <color rgb="FFFF0000"/>
        <rFont val="Calibri"/>
        <family val="2"/>
      </rPr>
      <t>π</t>
    </r>
  </si>
  <si>
    <r>
      <t>PV</t>
    </r>
    <r>
      <rPr>
        <b/>
        <vertAlign val="subscript"/>
        <sz val="11"/>
        <color rgb="FF008000"/>
        <rFont val="Calibri"/>
        <family val="2"/>
        <scheme val="minor"/>
      </rPr>
      <t>DCF(FCF)</t>
    </r>
  </si>
  <si>
    <r>
      <t>Total PV</t>
    </r>
    <r>
      <rPr>
        <b/>
        <vertAlign val="subscript"/>
        <sz val="11"/>
        <color rgb="FF008000"/>
        <rFont val="Calibri"/>
        <family val="2"/>
        <scheme val="minor"/>
      </rPr>
      <t>DCF(FCF)</t>
    </r>
  </si>
  <si>
    <r>
      <t>CV</t>
    </r>
    <r>
      <rPr>
        <b/>
        <vertAlign val="subscript"/>
        <sz val="11"/>
        <color rgb="FFFF0000"/>
        <rFont val="Calibri"/>
        <family val="2"/>
        <scheme val="minor"/>
      </rPr>
      <t xml:space="preserve">ECON </t>
    </r>
    <r>
      <rPr>
        <b/>
        <vertAlign val="subscript"/>
        <sz val="11"/>
        <color rgb="FFFF0000"/>
        <rFont val="Calibri"/>
        <family val="2"/>
      </rPr>
      <t>π</t>
    </r>
  </si>
  <si>
    <r>
      <t>PV</t>
    </r>
    <r>
      <rPr>
        <b/>
        <vertAlign val="subscript"/>
        <sz val="11"/>
        <color rgb="FFFF0000"/>
        <rFont val="Calibri"/>
        <family val="2"/>
        <scheme val="minor"/>
      </rPr>
      <t>CV</t>
    </r>
  </si>
  <si>
    <r>
      <t>VALUE</t>
    </r>
    <r>
      <rPr>
        <b/>
        <vertAlign val="subscript"/>
        <sz val="11"/>
        <color rgb="FFFF0000"/>
        <rFont val="Calibri"/>
        <family val="2"/>
        <scheme val="minor"/>
      </rPr>
      <t xml:space="preserve">ECON </t>
    </r>
    <r>
      <rPr>
        <b/>
        <vertAlign val="subscript"/>
        <sz val="11"/>
        <color rgb="FFFF0000"/>
        <rFont val="Calibri"/>
        <family val="2"/>
      </rPr>
      <t>π</t>
    </r>
  </si>
  <si>
    <r>
      <t>CV</t>
    </r>
    <r>
      <rPr>
        <b/>
        <vertAlign val="subscript"/>
        <sz val="11"/>
        <color rgb="FF008000"/>
        <rFont val="Calibri"/>
        <family val="2"/>
        <scheme val="minor"/>
      </rPr>
      <t>FCF</t>
    </r>
  </si>
  <si>
    <r>
      <t>PV</t>
    </r>
    <r>
      <rPr>
        <b/>
        <vertAlign val="subscript"/>
        <sz val="11"/>
        <color rgb="FF008000"/>
        <rFont val="Calibri"/>
        <family val="2"/>
        <scheme val="minor"/>
      </rPr>
      <t>CV(FCF)</t>
    </r>
  </si>
  <si>
    <r>
      <t>VALUE</t>
    </r>
    <r>
      <rPr>
        <b/>
        <vertAlign val="subscript"/>
        <sz val="11"/>
        <color rgb="FF008000"/>
        <rFont val="Calibri"/>
        <family val="2"/>
        <scheme val="minor"/>
      </rPr>
      <t>FCF</t>
    </r>
  </si>
  <si>
    <t>Dep</t>
  </si>
  <si>
    <t>APV Model</t>
  </si>
  <si>
    <t>Tax Shield</t>
  </si>
  <si>
    <r>
      <t>PV</t>
    </r>
    <r>
      <rPr>
        <b/>
        <vertAlign val="subscript"/>
        <sz val="11"/>
        <color rgb="FF7030A0"/>
        <rFont val="Calibri"/>
        <family val="2"/>
        <scheme val="minor"/>
      </rPr>
      <t>Tax Shield</t>
    </r>
  </si>
  <si>
    <r>
      <t>Total       PV</t>
    </r>
    <r>
      <rPr>
        <b/>
        <vertAlign val="subscript"/>
        <sz val="11"/>
        <color rgb="FF7030A0"/>
        <rFont val="Calibri"/>
        <family val="2"/>
        <scheme val="minor"/>
      </rPr>
      <t>Tax Shield</t>
    </r>
  </si>
  <si>
    <r>
      <t>PV</t>
    </r>
    <r>
      <rPr>
        <b/>
        <vertAlign val="subscript"/>
        <sz val="11"/>
        <color rgb="FF7030A0"/>
        <rFont val="Calibri"/>
        <family val="2"/>
        <scheme val="minor"/>
      </rPr>
      <t>DCF(FCF)</t>
    </r>
  </si>
  <si>
    <r>
      <t>Total PV</t>
    </r>
    <r>
      <rPr>
        <b/>
        <vertAlign val="subscript"/>
        <sz val="11"/>
        <color rgb="FF7030A0"/>
        <rFont val="Calibri"/>
        <family val="2"/>
        <scheme val="minor"/>
      </rPr>
      <t>DCF(FCF)</t>
    </r>
  </si>
  <si>
    <t>NCS</t>
  </si>
  <si>
    <t>The Farm Hill Group, Ltd.</t>
  </si>
  <si>
    <t>Balance Sheet (millions)</t>
  </si>
  <si>
    <t>Income Statement (millions)</t>
  </si>
  <si>
    <t>Current Assets</t>
  </si>
  <si>
    <t>Current Liabilitites</t>
  </si>
  <si>
    <t>Income</t>
  </si>
  <si>
    <t>Cash &amp; Securities</t>
  </si>
  <si>
    <t>Accounts Payable</t>
  </si>
  <si>
    <t>Product Sales</t>
  </si>
  <si>
    <t>Accounts Receivable</t>
  </si>
  <si>
    <t>Other</t>
  </si>
  <si>
    <t>Inventory</t>
  </si>
  <si>
    <t>Total</t>
  </si>
  <si>
    <t>Private Equity</t>
  </si>
  <si>
    <t xml:space="preserve">Total </t>
  </si>
  <si>
    <t>Long Term Debt</t>
  </si>
  <si>
    <t>Total Income</t>
  </si>
  <si>
    <t>Fixed Assets</t>
  </si>
  <si>
    <t>Mortgages</t>
  </si>
  <si>
    <t>PPE</t>
  </si>
  <si>
    <t>Bonds</t>
  </si>
  <si>
    <t>Expenses</t>
  </si>
  <si>
    <t>Owner's Equity</t>
  </si>
  <si>
    <t>Common Stock</t>
  </si>
  <si>
    <t>Depreciation</t>
  </si>
  <si>
    <t>Preferred Stock</t>
  </si>
  <si>
    <t>Total Expenses</t>
  </si>
  <si>
    <t>Accumulated Retained Earnings</t>
  </si>
  <si>
    <t>Interest Paid</t>
  </si>
  <si>
    <t>Total Assets</t>
  </si>
  <si>
    <t>Total Liabilities and Owner's Equity</t>
  </si>
  <si>
    <t>General Interest</t>
  </si>
  <si>
    <t>Total Interest Paid</t>
  </si>
  <si>
    <t>Additional Financial Information</t>
  </si>
  <si>
    <t>Taxable Income</t>
  </si>
  <si>
    <t>Preferred Stock Value</t>
  </si>
  <si>
    <t>Common Stock Value</t>
  </si>
  <si>
    <t>Taxes Paid</t>
  </si>
  <si>
    <t>Shares Outstanding (millions)</t>
  </si>
  <si>
    <t>Net Income</t>
  </si>
  <si>
    <t>12/31 Price per Share</t>
  </si>
  <si>
    <t>Market Value (millions)</t>
  </si>
  <si>
    <t>P/E Multiple</t>
  </si>
  <si>
    <t>Distribution of Earnings</t>
  </si>
  <si>
    <t>EPS</t>
  </si>
  <si>
    <t>Dividends (Common)</t>
  </si>
  <si>
    <t>Dividends (Preferred)</t>
  </si>
  <si>
    <t>Addition to Retained Earnings</t>
  </si>
  <si>
    <t>NWC</t>
  </si>
  <si>
    <t>OCF</t>
  </si>
  <si>
    <t>CFFA (1)</t>
  </si>
  <si>
    <t>CFFA (2)</t>
  </si>
  <si>
    <t>CF/CR</t>
  </si>
  <si>
    <t>Cost of Debt</t>
  </si>
  <si>
    <t>CF/SH</t>
  </si>
  <si>
    <t>Cost of Preferred</t>
  </si>
  <si>
    <t>EBITDA</t>
  </si>
  <si>
    <r>
      <t>Cost of Equity</t>
    </r>
    <r>
      <rPr>
        <vertAlign val="subscript"/>
        <sz val="11"/>
        <color theme="1"/>
        <rFont val="Calibri"/>
        <family val="2"/>
        <scheme val="minor"/>
      </rPr>
      <t>CAPM</t>
    </r>
    <r>
      <rPr>
        <sz val="11"/>
        <color theme="1"/>
        <rFont val="Calibri"/>
        <family val="2"/>
        <scheme val="minor"/>
      </rPr>
      <t xml:space="preserve"> (R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+(R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-R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</rPr>
      <t>β</t>
    </r>
  </si>
  <si>
    <t>ROA</t>
  </si>
  <si>
    <t>ROE</t>
  </si>
  <si>
    <t>PM</t>
  </si>
  <si>
    <t>Market Returns</t>
  </si>
  <si>
    <t>TAT</t>
  </si>
  <si>
    <t>Risk Free Rate</t>
  </si>
  <si>
    <t>EM</t>
  </si>
  <si>
    <t>Beta (assumed)</t>
  </si>
  <si>
    <t>ROE (Dupont)</t>
  </si>
  <si>
    <t>ROE = NI/TE</t>
  </si>
  <si>
    <t>Payout Ratio</t>
  </si>
  <si>
    <t>Retention Ratio</t>
  </si>
  <si>
    <t>IGR</t>
  </si>
  <si>
    <t>SGR</t>
  </si>
  <si>
    <t xml:space="preserve">Net Investment </t>
  </si>
  <si>
    <t>NOPLAT = EBIT x (1-T)</t>
  </si>
  <si>
    <t>IC = FA + NWC (ops approach)</t>
  </si>
  <si>
    <t>ROIC = NOPLAT/Invested Capital</t>
  </si>
  <si>
    <t>IC = TE + LTD (finance approach)</t>
  </si>
  <si>
    <r>
      <t xml:space="preserve">FCF = NOPLAT + Dep - </t>
    </r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>NWC - NCS</t>
    </r>
  </si>
  <si>
    <t>WACC (market based)</t>
  </si>
  <si>
    <t>Coupon</t>
  </si>
  <si>
    <t>YTM (current yield)</t>
  </si>
  <si>
    <t>P/YR</t>
  </si>
  <si>
    <t>Years</t>
  </si>
  <si>
    <t>N</t>
  </si>
  <si>
    <t>F</t>
  </si>
  <si>
    <t>C = PMT</t>
  </si>
  <si>
    <t>Per bond value</t>
  </si>
  <si>
    <t>Number of bonds</t>
  </si>
  <si>
    <t>Total bond value</t>
  </si>
  <si>
    <t>Common</t>
  </si>
  <si>
    <t>Preferred</t>
  </si>
  <si>
    <t>Weight</t>
  </si>
  <si>
    <t>Value</t>
  </si>
  <si>
    <t>Sales &amp; Admin</t>
  </si>
  <si>
    <t>Tax Rate on EBIT</t>
  </si>
  <si>
    <t>Tax Rate on Taxable Income</t>
  </si>
  <si>
    <t>Long term g</t>
  </si>
  <si>
    <t>Operating Income (EBIT)</t>
  </si>
  <si>
    <t>KVD</t>
  </si>
  <si>
    <r>
      <t>PV</t>
    </r>
    <r>
      <rPr>
        <b/>
        <vertAlign val="subscript"/>
        <sz val="11"/>
        <rFont val="Calibri"/>
        <family val="2"/>
        <scheme val="minor"/>
      </rPr>
      <t>DCF(FCF)</t>
    </r>
  </si>
  <si>
    <r>
      <t>Total PV</t>
    </r>
    <r>
      <rPr>
        <b/>
        <vertAlign val="subscript"/>
        <sz val="11"/>
        <rFont val="Calibri"/>
        <family val="2"/>
        <scheme val="minor"/>
      </rPr>
      <t>DCF(FCF)</t>
    </r>
  </si>
  <si>
    <r>
      <t>PV</t>
    </r>
    <r>
      <rPr>
        <b/>
        <vertAlign val="subscript"/>
        <sz val="11"/>
        <rFont val="Calibri"/>
        <family val="2"/>
        <scheme val="minor"/>
      </rPr>
      <t>DCF</t>
    </r>
  </si>
  <si>
    <r>
      <t>CV</t>
    </r>
    <r>
      <rPr>
        <b/>
        <vertAlign val="subscript"/>
        <sz val="11"/>
        <rFont val="Calibri"/>
        <family val="2"/>
        <scheme val="minor"/>
      </rPr>
      <t>KVD</t>
    </r>
  </si>
  <si>
    <r>
      <t>PV</t>
    </r>
    <r>
      <rPr>
        <b/>
        <vertAlign val="subscript"/>
        <sz val="11"/>
        <rFont val="Calibri"/>
        <family val="2"/>
        <scheme val="minor"/>
      </rPr>
      <t>CV</t>
    </r>
  </si>
  <si>
    <r>
      <t>VALUE</t>
    </r>
    <r>
      <rPr>
        <b/>
        <vertAlign val="subscript"/>
        <sz val="11"/>
        <rFont val="Calibri"/>
        <family val="2"/>
        <scheme val="minor"/>
      </rPr>
      <t>KVD</t>
    </r>
  </si>
  <si>
    <r>
      <t>PV</t>
    </r>
    <r>
      <rPr>
        <b/>
        <vertAlign val="subscript"/>
        <sz val="11"/>
        <color rgb="FF002060"/>
        <rFont val="Calibri"/>
        <family val="2"/>
        <scheme val="minor"/>
      </rPr>
      <t>DCF(FCF)</t>
    </r>
  </si>
  <si>
    <r>
      <t>Total PV</t>
    </r>
    <r>
      <rPr>
        <b/>
        <vertAlign val="subscript"/>
        <sz val="11"/>
        <color rgb="FF002060"/>
        <rFont val="Calibri"/>
        <family val="2"/>
        <scheme val="minor"/>
      </rPr>
      <t>DCF(FCF)</t>
    </r>
  </si>
  <si>
    <r>
      <t>PV</t>
    </r>
    <r>
      <rPr>
        <b/>
        <vertAlign val="subscript"/>
        <sz val="11"/>
        <color rgb="FF7030A0"/>
        <rFont val="Calibri"/>
        <family val="2"/>
        <scheme val="minor"/>
      </rPr>
      <t>DCF(TS)</t>
    </r>
  </si>
  <si>
    <r>
      <t>CV</t>
    </r>
    <r>
      <rPr>
        <b/>
        <vertAlign val="subscript"/>
        <sz val="11"/>
        <color rgb="FF7030A0"/>
        <rFont val="Calibri"/>
        <family val="2"/>
        <scheme val="minor"/>
      </rPr>
      <t>FCF</t>
    </r>
  </si>
  <si>
    <r>
      <t>CV</t>
    </r>
    <r>
      <rPr>
        <b/>
        <vertAlign val="subscript"/>
        <sz val="11"/>
        <color rgb="FF7030A0"/>
        <rFont val="Calibri"/>
        <family val="2"/>
        <scheme val="minor"/>
      </rPr>
      <t>TS</t>
    </r>
  </si>
  <si>
    <r>
      <t>PV</t>
    </r>
    <r>
      <rPr>
        <b/>
        <vertAlign val="subscript"/>
        <sz val="11"/>
        <color rgb="FF7030A0"/>
        <rFont val="Calibri"/>
        <family val="2"/>
        <scheme val="minor"/>
      </rPr>
      <t>CV(FCF)</t>
    </r>
  </si>
  <si>
    <r>
      <t>PV</t>
    </r>
    <r>
      <rPr>
        <b/>
        <vertAlign val="subscript"/>
        <sz val="11"/>
        <color rgb="FF7030A0"/>
        <rFont val="Calibri"/>
        <family val="2"/>
        <scheme val="minor"/>
      </rPr>
      <t>CV(TS)</t>
    </r>
  </si>
  <si>
    <r>
      <t>VALUE</t>
    </r>
    <r>
      <rPr>
        <b/>
        <vertAlign val="subscript"/>
        <sz val="11"/>
        <color rgb="FF7030A0"/>
        <rFont val="Calibri"/>
        <family val="2"/>
        <scheme val="minor"/>
      </rPr>
      <t>FCF</t>
    </r>
  </si>
  <si>
    <r>
      <t>VALUE</t>
    </r>
    <r>
      <rPr>
        <b/>
        <vertAlign val="subscript"/>
        <sz val="11"/>
        <color rgb="FF7030A0"/>
        <rFont val="Calibri"/>
        <family val="2"/>
        <scheme val="minor"/>
      </rPr>
      <t>TAX</t>
    </r>
  </si>
  <si>
    <t>Sales Forecast</t>
  </si>
  <si>
    <t>Market Increase</t>
  </si>
  <si>
    <t>Quality Premium</t>
  </si>
  <si>
    <r>
      <t xml:space="preserve">ECON </t>
    </r>
    <r>
      <rPr>
        <b/>
        <sz val="11"/>
        <color theme="1"/>
        <rFont val="Calibri"/>
        <family val="2"/>
      </rPr>
      <t>π</t>
    </r>
  </si>
  <si>
    <r>
      <t>Economic Profit = IC + PV</t>
    </r>
    <r>
      <rPr>
        <b/>
        <vertAlign val="subscript"/>
        <sz val="11"/>
        <color rgb="FFFF0000"/>
        <rFont val="Calibri"/>
        <family val="2"/>
        <scheme val="minor"/>
      </rPr>
      <t>EXPLICIT</t>
    </r>
    <r>
      <rPr>
        <b/>
        <sz val="11"/>
        <color rgb="FFFF0000"/>
        <rFont val="Calibri"/>
        <family val="2"/>
        <scheme val="minor"/>
      </rPr>
      <t xml:space="preserve">  + PV</t>
    </r>
    <r>
      <rPr>
        <b/>
        <vertAlign val="subscript"/>
        <sz val="11"/>
        <color rgb="FFFF0000"/>
        <rFont val="Calibri"/>
        <family val="2"/>
        <scheme val="minor"/>
      </rPr>
      <t>CV</t>
    </r>
  </si>
  <si>
    <t>Assume constant D/IC ratio</t>
  </si>
  <si>
    <t>Assume constant Rev/IC ratio</t>
  </si>
  <si>
    <t>Subject Income Variable</t>
  </si>
  <si>
    <t>TAX</t>
  </si>
  <si>
    <t>Avg Tax Rate</t>
  </si>
  <si>
    <t>Taxable Income Over</t>
  </si>
  <si>
    <t>But Not Over</t>
  </si>
  <si>
    <t>Tax Rate</t>
  </si>
  <si>
    <t>Tax in bracket</t>
  </si>
  <si>
    <t>Running Total</t>
  </si>
  <si>
    <t>Taxes Paid/Taxable Income</t>
  </si>
  <si>
    <t>Tax Rates</t>
  </si>
  <si>
    <t>EV (market)</t>
  </si>
  <si>
    <r>
      <t>IC</t>
    </r>
    <r>
      <rPr>
        <b/>
        <vertAlign val="subscript"/>
        <sz val="11"/>
        <color rgb="FFFF0000"/>
        <rFont val="Calibri"/>
        <family val="2"/>
      </rPr>
      <t>0</t>
    </r>
  </si>
  <si>
    <t>EV/EBIT</t>
  </si>
  <si>
    <r>
      <t>PV</t>
    </r>
    <r>
      <rPr>
        <b/>
        <vertAlign val="subscript"/>
        <sz val="11"/>
        <color rgb="FF002060"/>
        <rFont val="Calibri"/>
        <family val="2"/>
        <scheme val="minor"/>
      </rPr>
      <t>DCF</t>
    </r>
  </si>
  <si>
    <r>
      <t>CV</t>
    </r>
    <r>
      <rPr>
        <b/>
        <vertAlign val="subscript"/>
        <sz val="11"/>
        <color rgb="FF002060"/>
        <rFont val="Calibri"/>
        <family val="2"/>
        <scheme val="minor"/>
      </rPr>
      <t>FMM</t>
    </r>
  </si>
  <si>
    <r>
      <t>PV</t>
    </r>
    <r>
      <rPr>
        <b/>
        <vertAlign val="subscript"/>
        <sz val="11"/>
        <color rgb="FF002060"/>
        <rFont val="Calibri"/>
        <family val="2"/>
        <scheme val="minor"/>
      </rPr>
      <t>CV</t>
    </r>
  </si>
  <si>
    <r>
      <t>VALUE</t>
    </r>
    <r>
      <rPr>
        <b/>
        <vertAlign val="subscript"/>
        <sz val="11"/>
        <color rgb="FF002060"/>
        <rFont val="Calibri"/>
        <family val="2"/>
        <scheme val="minor"/>
      </rPr>
      <t>FMM</t>
    </r>
  </si>
  <si>
    <t>Best Owner Premium for Revenue included in Forecast Ratio and expected to decrease to 1% after first year and another 1% after second year</t>
  </si>
  <si>
    <t>Best Owner Premium for Interest assumes all debt is refinanced at current cost of borrowing based on new owner's credit capacity</t>
  </si>
  <si>
    <t>Book Value of Liabilities</t>
  </si>
  <si>
    <t>FCF = NOPLAT - Net Invest</t>
  </si>
  <si>
    <t>Market Based Bonds and Cost of Capital 2016</t>
  </si>
  <si>
    <t>Year Ending December 31</t>
  </si>
  <si>
    <t>January 1 - December 31</t>
  </si>
  <si>
    <t>FMM (EV/EBIT 2016 observed)</t>
  </si>
  <si>
    <t>FA</t>
  </si>
  <si>
    <t>Operating Expense (w/out Dep)</t>
  </si>
  <si>
    <r>
      <t>Best Owner Adjusts</t>
    </r>
    <r>
      <rPr>
        <vertAlign val="superscript"/>
        <sz val="11"/>
        <color theme="1"/>
        <rFont val="Calibri"/>
        <family val="2"/>
        <scheme val="minor"/>
      </rPr>
      <t>1,2</t>
    </r>
  </si>
  <si>
    <t>Leadership Premium</t>
  </si>
  <si>
    <r>
      <t>2018 US Federal Corporate Income Tax Calculator with State Tax</t>
    </r>
    <r>
      <rPr>
        <b/>
        <vertAlign val="superscript"/>
        <sz val="11"/>
        <color rgb="FF0000FF"/>
        <rFont val="Calibri"/>
        <family val="2"/>
        <scheme val="minor"/>
      </rPr>
      <t>1</t>
    </r>
  </si>
  <si>
    <t>State Corporate Income Tax Rate</t>
  </si>
  <si>
    <t>State Tax</t>
  </si>
  <si>
    <t>Total State and Federal Tax</t>
  </si>
  <si>
    <r>
      <rPr>
        <vertAlign val="superscript"/>
        <sz val="11"/>
        <color rgb="FF0000FF"/>
        <rFont val="Calibri"/>
        <family val="2"/>
        <scheme val="minor"/>
      </rPr>
      <t>1</t>
    </r>
    <r>
      <rPr>
        <sz val="11"/>
        <color rgb="FF0000FF"/>
        <rFont val="Calibri"/>
        <family val="2"/>
        <scheme val="minor"/>
      </rPr>
      <t xml:space="preserve"> State corporate income tax percentage must be input as indicated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</si>
  <si>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 k</t>
    </r>
    <r>
      <rPr>
        <vertAlign val="subscript"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family val="2"/>
        <scheme val="minor"/>
      </rPr>
      <t>= R</t>
    </r>
    <r>
      <rPr>
        <vertAlign val="subscript"/>
        <sz val="11"/>
        <color theme="1"/>
        <rFont val="Calibri"/>
        <family val="2"/>
        <scheme val="minor"/>
      </rPr>
      <t>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</si>
</sst>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_(* #,##0.000_);_(* \(#,##0.000\);_(* &quot;-&quot;??_);_(@_)"/>
    <numFmt numFmtId="168" formatCode="_(* #,##0_);_(* \(#,##0\);_(* &quot;-&quot;??_);_(@_)"/>
    <numFmt numFmtId="169" formatCode="0.000%"/>
    <numFmt numFmtId="170" formatCode="_(* #,##0.0000_);_(* \(#,##0.0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vertAlign val="subscript"/>
      <sz val="11"/>
      <color rgb="FF7030A0"/>
      <name val="Calibri"/>
      <family val="2"/>
      <scheme val="minor"/>
    </font>
    <font>
      <b/>
      <vertAlign val="subscript"/>
      <sz val="11"/>
      <color rgb="FFFF0000"/>
      <name val="Calibri"/>
      <family val="2"/>
    </font>
    <font>
      <b/>
      <sz val="11"/>
      <color rgb="FF008000"/>
      <name val="Calibri"/>
      <family val="2"/>
      <scheme val="minor"/>
    </font>
    <font>
      <b/>
      <vertAlign val="subscript"/>
      <sz val="11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vertAlign val="subscript"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0" fillId="0" borderId="0" xfId="0" applyNumberFormat="1" applyBorder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>
      <alignment horizontal="center" wrapText="1"/>
    </xf>
    <xf numFmtId="164" fontId="5" fillId="0" borderId="0" xfId="0" applyNumberFormat="1" applyFont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0" fillId="0" borderId="0" xfId="0" applyFont="1"/>
    <xf numFmtId="0" fontId="6" fillId="0" borderId="0" xfId="0" applyFont="1"/>
    <xf numFmtId="0" fontId="2" fillId="0" borderId="0" xfId="0" applyFont="1"/>
    <xf numFmtId="0" fontId="2" fillId="0" borderId="0" xfId="0" applyFont="1" applyAlignment="1"/>
    <xf numFmtId="0" fontId="14" fillId="0" borderId="0" xfId="0" applyFont="1" applyAlignment="1">
      <alignment horizontal="center" wrapText="1"/>
    </xf>
    <xf numFmtId="165" fontId="16" fillId="0" borderId="0" xfId="0" applyNumberFormat="1" applyFont="1"/>
    <xf numFmtId="0" fontId="16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/>
    <xf numFmtId="0" fontId="11" fillId="0" borderId="0" xfId="0" applyFont="1" applyAlignment="1">
      <alignment horizontal="center" wrapText="1"/>
    </xf>
    <xf numFmtId="165" fontId="1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5" xfId="0" applyFont="1" applyBorder="1"/>
    <xf numFmtId="167" fontId="0" fillId="0" borderId="0" xfId="0" applyNumberFormat="1" applyBorder="1"/>
    <xf numFmtId="167" fontId="0" fillId="0" borderId="0" xfId="1" applyNumberFormat="1" applyFont="1" applyBorder="1"/>
    <xf numFmtId="167" fontId="0" fillId="0" borderId="5" xfId="1" applyNumberFormat="1" applyFont="1" applyBorder="1"/>
    <xf numFmtId="165" fontId="0" fillId="0" borderId="0" xfId="0" applyNumberFormat="1" applyBorder="1"/>
    <xf numFmtId="165" fontId="0" fillId="0" borderId="5" xfId="1" applyNumberFormat="1" applyFont="1" applyBorder="1"/>
    <xf numFmtId="167" fontId="0" fillId="0" borderId="6" xfId="1" applyNumberFormat="1" applyFont="1" applyBorder="1"/>
    <xf numFmtId="167" fontId="0" fillId="0" borderId="7" xfId="1" applyNumberFormat="1" applyFont="1" applyBorder="1"/>
    <xf numFmtId="165" fontId="0" fillId="0" borderId="0" xfId="0" applyNumberFormat="1" applyFill="1" applyBorder="1"/>
    <xf numFmtId="165" fontId="0" fillId="0" borderId="6" xfId="0" applyNumberFormat="1" applyFill="1" applyBorder="1"/>
    <xf numFmtId="165" fontId="0" fillId="0" borderId="7" xfId="0" applyNumberFormat="1" applyBorder="1"/>
    <xf numFmtId="165" fontId="0" fillId="0" borderId="0" xfId="1" applyNumberFormat="1" applyFont="1" applyBorder="1"/>
    <xf numFmtId="167" fontId="0" fillId="0" borderId="0" xfId="0" applyNumberFormat="1" applyFill="1" applyBorder="1"/>
    <xf numFmtId="0" fontId="0" fillId="0" borderId="0" xfId="0" applyFill="1" applyBorder="1"/>
    <xf numFmtId="165" fontId="0" fillId="0" borderId="6" xfId="0" applyNumberFormat="1" applyBorder="1"/>
    <xf numFmtId="167" fontId="0" fillId="0" borderId="0" xfId="0" applyNumberFormat="1"/>
    <xf numFmtId="0" fontId="0" fillId="0" borderId="8" xfId="0" applyBorder="1"/>
    <xf numFmtId="167" fontId="0" fillId="0" borderId="6" xfId="0" applyNumberFormat="1" applyBorder="1"/>
    <xf numFmtId="167" fontId="0" fillId="0" borderId="4" xfId="0" applyNumberFormat="1" applyBorder="1"/>
    <xf numFmtId="0" fontId="2" fillId="0" borderId="0" xfId="1" applyNumberFormat="1" applyFont="1" applyBorder="1"/>
    <xf numFmtId="0" fontId="2" fillId="0" borderId="5" xfId="1" applyNumberFormat="1" applyFont="1" applyBorder="1"/>
    <xf numFmtId="165" fontId="0" fillId="0" borderId="9" xfId="1" applyNumberFormat="1" applyFont="1" applyBorder="1"/>
    <xf numFmtId="167" fontId="0" fillId="0" borderId="5" xfId="0" applyNumberFormat="1" applyBorder="1"/>
    <xf numFmtId="167" fontId="0" fillId="0" borderId="7" xfId="0" applyNumberFormat="1" applyBorder="1"/>
    <xf numFmtId="0" fontId="0" fillId="0" borderId="6" xfId="0" applyBorder="1"/>
    <xf numFmtId="43" fontId="0" fillId="0" borderId="0" xfId="0" applyNumberFormat="1"/>
    <xf numFmtId="168" fontId="0" fillId="0" borderId="0" xfId="0" applyNumberFormat="1"/>
    <xf numFmtId="168" fontId="0" fillId="0" borderId="0" xfId="1" applyNumberFormat="1" applyFont="1"/>
    <xf numFmtId="164" fontId="0" fillId="0" borderId="0" xfId="2" applyNumberFormat="1" applyFont="1"/>
    <xf numFmtId="10" fontId="0" fillId="0" borderId="0" xfId="2" applyNumberFormat="1" applyFont="1"/>
    <xf numFmtId="0" fontId="1" fillId="0" borderId="0" xfId="0" applyFont="1"/>
    <xf numFmtId="43" fontId="0" fillId="0" borderId="0" xfId="0" applyNumberFormat="1" applyFill="1"/>
    <xf numFmtId="169" fontId="0" fillId="0" borderId="0" xfId="2" applyNumberFormat="1" applyFont="1"/>
    <xf numFmtId="164" fontId="0" fillId="0" borderId="0" xfId="2" quotePrefix="1" applyNumberFormat="1" applyFont="1" applyAlignment="1">
      <alignment horizontal="right"/>
    </xf>
    <xf numFmtId="169" fontId="0" fillId="0" borderId="0" xfId="0" applyNumberFormat="1"/>
    <xf numFmtId="170" fontId="0" fillId="0" borderId="0" xfId="0" applyNumberFormat="1"/>
    <xf numFmtId="0" fontId="6" fillId="0" borderId="0" xfId="0" applyFont="1" applyAlignment="1">
      <alignment vertical="center"/>
    </xf>
    <xf numFmtId="167" fontId="0" fillId="0" borderId="0" xfId="1" applyNumberFormat="1" applyFont="1"/>
    <xf numFmtId="8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10" fontId="0" fillId="0" borderId="0" xfId="0" applyNumberFormat="1"/>
    <xf numFmtId="165" fontId="0" fillId="0" borderId="6" xfId="1" applyNumberFormat="1" applyFont="1" applyBorder="1"/>
    <xf numFmtId="165" fontId="0" fillId="0" borderId="0" xfId="1" quotePrefix="1" applyNumberFormat="1" applyFont="1" applyBorder="1"/>
    <xf numFmtId="165" fontId="0" fillId="0" borderId="2" xfId="0" applyNumberFormat="1" applyBorder="1"/>
    <xf numFmtId="0" fontId="2" fillId="0" borderId="4" xfId="0" applyFont="1" applyBorder="1" applyAlignment="1"/>
    <xf numFmtId="0" fontId="8" fillId="0" borderId="0" xfId="0" applyFont="1" applyAlignment="1">
      <alignment horizontal="center" wrapText="1"/>
    </xf>
    <xf numFmtId="165" fontId="19" fillId="0" borderId="0" xfId="0" applyNumberFormat="1" applyFont="1"/>
    <xf numFmtId="0" fontId="19" fillId="0" borderId="0" xfId="0" applyFont="1"/>
    <xf numFmtId="0" fontId="20" fillId="0" borderId="0" xfId="0" applyFont="1" applyAlignment="1">
      <alignment horizontal="center" wrapText="1"/>
    </xf>
    <xf numFmtId="165" fontId="22" fillId="0" borderId="0" xfId="0" applyNumberFormat="1" applyFont="1" applyAlignment="1">
      <alignment horizontal="center"/>
    </xf>
    <xf numFmtId="0" fontId="22" fillId="0" borderId="0" xfId="0" applyFont="1"/>
    <xf numFmtId="10" fontId="0" fillId="0" borderId="0" xfId="2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right"/>
    </xf>
    <xf numFmtId="165" fontId="10" fillId="0" borderId="0" xfId="0" applyNumberFormat="1" applyFont="1"/>
    <xf numFmtId="0" fontId="2" fillId="0" borderId="0" xfId="0" applyFont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22" fillId="0" borderId="0" xfId="0" applyNumberFormat="1" applyFont="1"/>
    <xf numFmtId="165" fontId="22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22" fillId="0" borderId="0" xfId="1" applyNumberFormat="1" applyFont="1" applyAlignment="1">
      <alignment horizontal="right"/>
    </xf>
    <xf numFmtId="10" fontId="0" fillId="0" borderId="0" xfId="2" applyNumberFormat="1" applyFont="1" applyAlignment="1">
      <alignment horizontal="center" wrapText="1"/>
    </xf>
    <xf numFmtId="10" fontId="0" fillId="0" borderId="0" xfId="2" quotePrefix="1" applyNumberFormat="1" applyFont="1" applyAlignment="1">
      <alignment horizontal="right"/>
    </xf>
    <xf numFmtId="10" fontId="0" fillId="2" borderId="0" xfId="2" applyNumberFormat="1" applyFont="1" applyFill="1"/>
    <xf numFmtId="10" fontId="0" fillId="2" borderId="0" xfId="2" applyNumberFormat="1" applyFont="1" applyFill="1" applyAlignment="1">
      <alignment horizontal="center"/>
    </xf>
    <xf numFmtId="43" fontId="0" fillId="0" borderId="0" xfId="0" applyNumberFormat="1" applyAlignment="1">
      <alignment horizontal="center" vertical="top"/>
    </xf>
    <xf numFmtId="10" fontId="0" fillId="0" borderId="6" xfId="2" applyNumberFormat="1" applyFont="1" applyBorder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43" fontId="0" fillId="0" borderId="0" xfId="1" applyNumberFormat="1" applyFont="1"/>
    <xf numFmtId="10" fontId="0" fillId="0" borderId="6" xfId="2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 textRotation="180"/>
    </xf>
    <xf numFmtId="167" fontId="0" fillId="0" borderId="0" xfId="1" applyNumberFormat="1" applyFont="1" applyAlignment="1">
      <alignment horizontal="center" vertical="top"/>
    </xf>
    <xf numFmtId="0" fontId="11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168" fontId="2" fillId="0" borderId="0" xfId="1" applyNumberFormat="1" applyFont="1"/>
    <xf numFmtId="2" fontId="26" fillId="0" borderId="0" xfId="0" applyNumberFormat="1" applyFont="1" applyAlignment="1">
      <alignment horizontal="left"/>
    </xf>
    <xf numFmtId="10" fontId="0" fillId="0" borderId="0" xfId="2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167" fontId="0" fillId="0" borderId="0" xfId="0" applyNumberFormat="1" applyFill="1" applyBorder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textRotation="180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2"/>
  <sheetViews>
    <sheetView zoomScale="80" zoomScaleNormal="80" workbookViewId="0">
      <selection activeCell="J71" sqref="J71:J72"/>
    </sheetView>
  </sheetViews>
  <sheetFormatPr defaultRowHeight="15" x14ac:dyDescent="0.25"/>
  <cols>
    <col min="1" max="1" width="1.7109375" customWidth="1"/>
    <col min="2" max="2" width="2.7109375" customWidth="1"/>
    <col min="3" max="3" width="20.7109375" customWidth="1"/>
    <col min="4" max="6" width="12.7109375" customWidth="1"/>
    <col min="7" max="8" width="2.7109375" customWidth="1"/>
    <col min="9" max="9" width="33.7109375" customWidth="1"/>
    <col min="10" max="10" width="12.7109375" customWidth="1"/>
    <col min="11" max="11" width="26" customWidth="1"/>
    <col min="12" max="12" width="3.7109375" customWidth="1"/>
    <col min="13" max="13" width="2.7109375" customWidth="1"/>
    <col min="14" max="14" width="30.7109375" customWidth="1"/>
    <col min="15" max="15" width="13.7109375" customWidth="1"/>
    <col min="16" max="16" width="13.28515625" bestFit="1" customWidth="1"/>
  </cols>
  <sheetData>
    <row r="2" spans="2:17" x14ac:dyDescent="0.25">
      <c r="B2" s="147" t="s">
        <v>41</v>
      </c>
      <c r="C2" s="148"/>
      <c r="D2" s="148"/>
      <c r="E2" s="148"/>
      <c r="F2" s="148"/>
      <c r="G2" s="148"/>
      <c r="H2" s="148"/>
      <c r="I2" s="148"/>
      <c r="J2" s="148"/>
      <c r="K2" s="149"/>
      <c r="M2" s="147" t="s">
        <v>41</v>
      </c>
      <c r="N2" s="148"/>
      <c r="O2" s="148"/>
      <c r="P2" s="149"/>
      <c r="Q2" s="33"/>
    </row>
    <row r="3" spans="2:17" x14ac:dyDescent="0.25">
      <c r="B3" s="150" t="s">
        <v>42</v>
      </c>
      <c r="C3" s="151"/>
      <c r="D3" s="151"/>
      <c r="E3" s="151"/>
      <c r="F3" s="151"/>
      <c r="G3" s="151"/>
      <c r="H3" s="151"/>
      <c r="I3" s="151"/>
      <c r="J3" s="151"/>
      <c r="K3" s="152"/>
      <c r="M3" s="150" t="s">
        <v>43</v>
      </c>
      <c r="N3" s="151"/>
      <c r="O3" s="151"/>
      <c r="P3" s="152"/>
      <c r="Q3" s="33"/>
    </row>
    <row r="4" spans="2:17" x14ac:dyDescent="0.25">
      <c r="B4" s="150" t="s">
        <v>184</v>
      </c>
      <c r="C4" s="151"/>
      <c r="D4" s="151"/>
      <c r="E4" s="151"/>
      <c r="F4" s="151"/>
      <c r="G4" s="151"/>
      <c r="H4" s="151"/>
      <c r="I4" s="151"/>
      <c r="J4" s="151"/>
      <c r="K4" s="152"/>
      <c r="M4" s="150" t="s">
        <v>185</v>
      </c>
      <c r="N4" s="151"/>
      <c r="O4" s="151"/>
      <c r="P4" s="151"/>
      <c r="Q4" s="98"/>
    </row>
    <row r="5" spans="2:17" x14ac:dyDescent="0.25">
      <c r="B5" s="45"/>
      <c r="C5" s="46"/>
      <c r="D5" s="46"/>
      <c r="E5" s="46"/>
      <c r="F5" s="46"/>
      <c r="G5" s="46"/>
      <c r="H5" s="46"/>
      <c r="I5" s="46"/>
      <c r="J5" s="46"/>
      <c r="K5" s="47"/>
      <c r="M5" s="45"/>
      <c r="N5" s="46"/>
      <c r="O5" s="46"/>
      <c r="P5" s="46"/>
      <c r="Q5" s="45"/>
    </row>
    <row r="6" spans="2:17" x14ac:dyDescent="0.25">
      <c r="B6" s="45"/>
      <c r="C6" s="46"/>
      <c r="D6" s="48">
        <v>2015</v>
      </c>
      <c r="E6" s="48">
        <v>2016</v>
      </c>
      <c r="F6" s="48"/>
      <c r="G6" s="48"/>
      <c r="H6" s="48"/>
      <c r="I6" s="48"/>
      <c r="J6" s="48">
        <f>D6</f>
        <v>2015</v>
      </c>
      <c r="K6" s="49">
        <f>E6</f>
        <v>2016</v>
      </c>
      <c r="M6" s="45"/>
      <c r="N6" s="46"/>
      <c r="O6" s="48">
        <f>D6</f>
        <v>2015</v>
      </c>
      <c r="P6" s="48">
        <f>E6</f>
        <v>2016</v>
      </c>
      <c r="Q6" s="45"/>
    </row>
    <row r="7" spans="2:17" x14ac:dyDescent="0.25">
      <c r="B7" s="45" t="s">
        <v>44</v>
      </c>
      <c r="C7" s="46"/>
      <c r="D7" s="46"/>
      <c r="E7" s="46"/>
      <c r="F7" s="46"/>
      <c r="G7" s="46"/>
      <c r="H7" s="46" t="s">
        <v>45</v>
      </c>
      <c r="I7" s="46"/>
      <c r="J7" s="46"/>
      <c r="K7" s="47"/>
      <c r="M7" s="45" t="s">
        <v>46</v>
      </c>
      <c r="N7" s="46"/>
      <c r="O7" s="46"/>
      <c r="P7" s="46"/>
      <c r="Q7" s="45"/>
    </row>
    <row r="8" spans="2:17" x14ac:dyDescent="0.25">
      <c r="B8" s="45"/>
      <c r="C8" s="50" t="s">
        <v>47</v>
      </c>
      <c r="D8" s="51">
        <v>9.7799999999999994</v>
      </c>
      <c r="E8" s="51">
        <v>7.9329999999999998</v>
      </c>
      <c r="F8" s="51"/>
      <c r="G8" s="50"/>
      <c r="H8" s="50"/>
      <c r="I8" s="50" t="s">
        <v>48</v>
      </c>
      <c r="J8" s="51">
        <v>13.36</v>
      </c>
      <c r="K8" s="52">
        <v>6.6405000000000003</v>
      </c>
      <c r="M8" s="45"/>
      <c r="N8" s="46" t="s">
        <v>49</v>
      </c>
      <c r="O8" s="53">
        <v>234.98</v>
      </c>
      <c r="P8" s="60">
        <v>252.78</v>
      </c>
      <c r="Q8" s="45"/>
    </row>
    <row r="9" spans="2:17" x14ac:dyDescent="0.25">
      <c r="B9" s="45"/>
      <c r="C9" s="50" t="s">
        <v>50</v>
      </c>
      <c r="D9" s="51">
        <v>37.47</v>
      </c>
      <c r="E9" s="51">
        <v>38.909999999999997</v>
      </c>
      <c r="F9" s="51"/>
      <c r="G9" s="50"/>
      <c r="H9" s="50"/>
      <c r="I9" s="50" t="s">
        <v>51</v>
      </c>
      <c r="J9" s="55">
        <v>21.15</v>
      </c>
      <c r="K9" s="56">
        <v>23.93</v>
      </c>
      <c r="M9" s="45"/>
      <c r="N9" t="s">
        <v>54</v>
      </c>
      <c r="O9" s="58">
        <v>0.55000000000000004</v>
      </c>
      <c r="P9" s="63">
        <v>0.86</v>
      </c>
      <c r="Q9" s="45"/>
    </row>
    <row r="10" spans="2:17" x14ac:dyDescent="0.25">
      <c r="B10" s="45"/>
      <c r="C10" s="50" t="s">
        <v>52</v>
      </c>
      <c r="D10" s="55">
        <v>47.7</v>
      </c>
      <c r="E10" s="55">
        <v>46.64</v>
      </c>
      <c r="F10" s="51"/>
      <c r="G10" s="50"/>
      <c r="H10" s="50"/>
      <c r="I10" s="50" t="s">
        <v>53</v>
      </c>
      <c r="J10" s="51">
        <f>SUM(J8:J9)</f>
        <v>34.51</v>
      </c>
      <c r="K10" s="52">
        <f>SUM(K8:K9)</f>
        <v>30.570499999999999</v>
      </c>
      <c r="M10" s="45"/>
      <c r="N10" s="46" t="s">
        <v>57</v>
      </c>
      <c r="O10" s="60">
        <f>SUM(O8:O9)</f>
        <v>235.53</v>
      </c>
      <c r="P10" s="60">
        <f>SUM(P8:P9)</f>
        <v>253.64000000000001</v>
      </c>
      <c r="Q10" s="45"/>
    </row>
    <row r="11" spans="2:17" x14ac:dyDescent="0.25">
      <c r="B11" s="45"/>
      <c r="C11" s="50" t="s">
        <v>55</v>
      </c>
      <c r="D11" s="51">
        <f>SUM(D8:D10)</f>
        <v>94.95</v>
      </c>
      <c r="E11" s="51">
        <f>SUM(E8:E10)</f>
        <v>93.483000000000004</v>
      </c>
      <c r="F11" s="51"/>
      <c r="G11" s="50"/>
      <c r="H11" s="50"/>
      <c r="I11" s="50"/>
      <c r="J11" s="51"/>
      <c r="K11" s="52"/>
      <c r="M11" s="45"/>
      <c r="Q11" s="45"/>
    </row>
    <row r="12" spans="2:17" x14ac:dyDescent="0.25">
      <c r="B12" s="45"/>
      <c r="C12" s="50"/>
      <c r="D12" s="51"/>
      <c r="E12" s="51"/>
      <c r="F12" s="51"/>
      <c r="G12" s="50"/>
      <c r="H12" s="50" t="s">
        <v>56</v>
      </c>
      <c r="I12" s="50"/>
      <c r="J12" s="51"/>
      <c r="K12" s="52"/>
      <c r="M12" s="45" t="s">
        <v>62</v>
      </c>
      <c r="N12" s="46"/>
      <c r="O12" s="53"/>
      <c r="P12" s="53"/>
      <c r="Q12" s="45"/>
    </row>
    <row r="13" spans="2:17" x14ac:dyDescent="0.25">
      <c r="B13" s="45" t="s">
        <v>58</v>
      </c>
      <c r="C13" s="50"/>
      <c r="D13" s="51"/>
      <c r="E13" s="51"/>
      <c r="F13" s="51"/>
      <c r="G13" s="50"/>
      <c r="H13" s="50"/>
      <c r="I13" s="61" t="s">
        <v>59</v>
      </c>
      <c r="J13" s="51">
        <v>0.32</v>
      </c>
      <c r="K13" s="52">
        <v>0.96</v>
      </c>
      <c r="M13" s="45"/>
      <c r="N13" s="46" t="s">
        <v>12</v>
      </c>
      <c r="O13" s="53">
        <v>196.69</v>
      </c>
      <c r="P13" s="60">
        <v>211.46</v>
      </c>
      <c r="Q13" s="45"/>
    </row>
    <row r="14" spans="2:17" x14ac:dyDescent="0.25">
      <c r="B14" s="45"/>
      <c r="C14" s="50" t="s">
        <v>60</v>
      </c>
      <c r="D14" s="51">
        <v>28.13</v>
      </c>
      <c r="E14" s="51">
        <v>32.17</v>
      </c>
      <c r="F14" s="51"/>
      <c r="G14" s="50"/>
      <c r="H14" s="50"/>
      <c r="I14" s="50" t="s">
        <v>61</v>
      </c>
      <c r="J14" s="55">
        <v>26.33</v>
      </c>
      <c r="K14" s="56">
        <v>30.584</v>
      </c>
      <c r="M14" s="45"/>
      <c r="N14" s="46" t="s">
        <v>134</v>
      </c>
      <c r="O14" s="53">
        <v>23.5</v>
      </c>
      <c r="P14" s="60">
        <v>29.64</v>
      </c>
      <c r="Q14" s="45"/>
    </row>
    <row r="15" spans="2:17" x14ac:dyDescent="0.25">
      <c r="B15" s="45"/>
      <c r="C15" s="50" t="s">
        <v>54</v>
      </c>
      <c r="D15" s="50">
        <v>14.76</v>
      </c>
      <c r="E15" s="50">
        <v>14.76</v>
      </c>
      <c r="F15" s="51"/>
      <c r="G15" s="50"/>
      <c r="H15" s="50"/>
      <c r="I15" s="50" t="s">
        <v>53</v>
      </c>
      <c r="J15" s="51">
        <f>SUM(J13:J14)</f>
        <v>26.65</v>
      </c>
      <c r="K15" s="52">
        <f>SUM(K13:K14)</f>
        <v>31.544</v>
      </c>
      <c r="M15" s="45"/>
      <c r="N15" s="46" t="s">
        <v>65</v>
      </c>
      <c r="O15" s="63">
        <v>3.64</v>
      </c>
      <c r="P15" s="95">
        <v>3.89</v>
      </c>
      <c r="Q15" s="45"/>
    </row>
    <row r="16" spans="2:17" x14ac:dyDescent="0.25">
      <c r="B16" s="45"/>
      <c r="C16" s="50"/>
      <c r="D16" s="55"/>
      <c r="E16" s="55"/>
      <c r="F16" s="51"/>
      <c r="G16" s="50"/>
      <c r="H16" s="50"/>
      <c r="I16" s="50"/>
      <c r="J16" s="51"/>
      <c r="K16" s="52"/>
      <c r="M16" s="45"/>
      <c r="N16" s="46" t="s">
        <v>67</v>
      </c>
      <c r="O16" s="60">
        <f>SUM(O13:O15)</f>
        <v>223.82999999999998</v>
      </c>
      <c r="P16" s="60">
        <f>SUM(P13:P15)</f>
        <v>244.99</v>
      </c>
      <c r="Q16" s="45"/>
    </row>
    <row r="17" spans="2:17" x14ac:dyDescent="0.25">
      <c r="B17" s="45"/>
      <c r="C17" s="50" t="s">
        <v>53</v>
      </c>
      <c r="D17" s="51">
        <f>SUM(D14:D16)</f>
        <v>42.89</v>
      </c>
      <c r="E17" s="51">
        <f>SUM(E14:E16)</f>
        <v>46.93</v>
      </c>
      <c r="F17" s="51"/>
      <c r="G17" s="50"/>
      <c r="H17" s="50" t="s">
        <v>63</v>
      </c>
      <c r="I17" s="50"/>
      <c r="J17" s="51"/>
      <c r="K17" s="52"/>
      <c r="M17" s="45"/>
      <c r="Q17" s="45"/>
    </row>
    <row r="18" spans="2:17" x14ac:dyDescent="0.25">
      <c r="B18" s="45"/>
      <c r="C18" s="50"/>
      <c r="D18" s="51"/>
      <c r="E18" s="51"/>
      <c r="F18" s="51"/>
      <c r="G18" s="50"/>
      <c r="H18" s="50"/>
      <c r="I18" s="50" t="s">
        <v>64</v>
      </c>
      <c r="J18" s="51">
        <v>5.44</v>
      </c>
      <c r="K18" s="52">
        <v>5.57</v>
      </c>
      <c r="M18" s="45" t="s">
        <v>138</v>
      </c>
      <c r="N18" s="46"/>
      <c r="O18" s="53">
        <f>O10-O16</f>
        <v>11.700000000000017</v>
      </c>
      <c r="P18" s="53">
        <f>P10-P16</f>
        <v>8.6500000000000057</v>
      </c>
      <c r="Q18" s="45"/>
    </row>
    <row r="19" spans="2:17" x14ac:dyDescent="0.25">
      <c r="B19" s="45"/>
      <c r="C19" s="64"/>
      <c r="D19" s="64"/>
      <c r="E19" s="64"/>
      <c r="F19" s="64"/>
      <c r="G19" s="50"/>
      <c r="H19" s="50"/>
      <c r="I19" s="50" t="s">
        <v>66</v>
      </c>
      <c r="J19" s="51">
        <v>0.08</v>
      </c>
      <c r="K19" s="52">
        <v>0.09</v>
      </c>
      <c r="M19" s="45"/>
      <c r="N19" s="46"/>
      <c r="O19" s="53"/>
      <c r="P19" s="96"/>
      <c r="Q19" s="45"/>
    </row>
    <row r="20" spans="2:17" x14ac:dyDescent="0.25">
      <c r="B20" s="45"/>
      <c r="F20" s="50"/>
      <c r="G20" s="50"/>
      <c r="H20" s="50"/>
      <c r="I20" s="50" t="s">
        <v>68</v>
      </c>
      <c r="J20" s="55">
        <v>71.16</v>
      </c>
      <c r="K20" s="56">
        <f>J20+P33</f>
        <v>72.638800000000003</v>
      </c>
      <c r="M20" s="45" t="s">
        <v>69</v>
      </c>
      <c r="O20" s="57"/>
      <c r="P20" s="60"/>
      <c r="Q20" s="45"/>
    </row>
    <row r="21" spans="2:17" x14ac:dyDescent="0.25">
      <c r="B21" s="45"/>
      <c r="C21" s="61"/>
      <c r="D21" s="64"/>
      <c r="E21" s="64"/>
      <c r="F21" s="64"/>
      <c r="G21" s="50"/>
      <c r="H21" s="50"/>
      <c r="I21" s="50" t="s">
        <v>53</v>
      </c>
      <c r="J21" s="51">
        <f>SUM(J18:J20)</f>
        <v>76.679999999999993</v>
      </c>
      <c r="K21" s="52">
        <f>SUM(K18:K20)</f>
        <v>78.2988</v>
      </c>
      <c r="M21" s="45"/>
      <c r="N21" s="62" t="s">
        <v>72</v>
      </c>
      <c r="O21" s="63">
        <v>3.72</v>
      </c>
      <c r="P21" s="95">
        <v>4.3600000000000003</v>
      </c>
      <c r="Q21" s="45"/>
    </row>
    <row r="22" spans="2:17" x14ac:dyDescent="0.25">
      <c r="B22" s="45"/>
      <c r="C22" s="64"/>
      <c r="D22" s="64"/>
      <c r="E22" s="64"/>
      <c r="F22" s="64"/>
      <c r="G22" s="50"/>
      <c r="H22" s="50"/>
      <c r="I22" s="50"/>
      <c r="J22" s="51"/>
      <c r="K22" s="52"/>
      <c r="M22" s="45"/>
      <c r="N22" s="62" t="s">
        <v>73</v>
      </c>
      <c r="O22" s="53">
        <f>SUM(O20:O21)</f>
        <v>3.72</v>
      </c>
      <c r="P22" s="97">
        <f>SUM(P20:P21)</f>
        <v>4.3600000000000003</v>
      </c>
      <c r="Q22" s="45"/>
    </row>
    <row r="23" spans="2:17" x14ac:dyDescent="0.25">
      <c r="B23" s="65" t="s">
        <v>70</v>
      </c>
      <c r="C23" s="66"/>
      <c r="D23" s="55">
        <f>D11+D17</f>
        <v>137.84</v>
      </c>
      <c r="E23" s="55">
        <f>E11+E17</f>
        <v>140.41300000000001</v>
      </c>
      <c r="F23" s="55"/>
      <c r="G23" s="66"/>
      <c r="H23" s="66" t="s">
        <v>71</v>
      </c>
      <c r="I23" s="66"/>
      <c r="J23" s="55">
        <f>J10+J15+J21</f>
        <v>137.83999999999997</v>
      </c>
      <c r="K23" s="56">
        <f>K10+K15+K21</f>
        <v>140.41329999999999</v>
      </c>
      <c r="M23" s="45"/>
      <c r="O23" s="38"/>
      <c r="P23" s="53"/>
      <c r="Q23" s="45"/>
    </row>
    <row r="24" spans="2:17" x14ac:dyDescent="0.25">
      <c r="B24" s="46"/>
      <c r="C24" s="50"/>
      <c r="D24" s="50"/>
      <c r="E24" s="50"/>
      <c r="F24" s="50"/>
      <c r="G24" s="50"/>
      <c r="H24" s="50"/>
      <c r="I24" s="50"/>
      <c r="J24" s="50"/>
      <c r="K24" s="50"/>
      <c r="M24" s="45"/>
      <c r="N24" s="46" t="s">
        <v>75</v>
      </c>
      <c r="O24" s="60">
        <f>O18-O22</f>
        <v>7.9800000000000164</v>
      </c>
      <c r="P24" s="60">
        <f>P18-P22</f>
        <v>4.2900000000000054</v>
      </c>
      <c r="Q24" s="45"/>
    </row>
    <row r="25" spans="2:17" x14ac:dyDescent="0.25">
      <c r="B25" s="46"/>
      <c r="C25" s="50"/>
      <c r="D25" s="50"/>
      <c r="E25" s="50"/>
      <c r="F25" s="50"/>
      <c r="G25" s="50"/>
      <c r="H25" s="50"/>
      <c r="I25" s="50"/>
      <c r="J25" s="50"/>
      <c r="K25" s="50"/>
      <c r="M25" s="45"/>
      <c r="N25" s="46" t="s">
        <v>78</v>
      </c>
      <c r="O25" s="63">
        <v>2.5535999999999999</v>
      </c>
      <c r="P25" s="95">
        <v>1.3728</v>
      </c>
      <c r="Q25" s="45"/>
    </row>
    <row r="26" spans="2:17" ht="15.75" thickBot="1" x14ac:dyDescent="0.3">
      <c r="B26" s="154" t="s">
        <v>74</v>
      </c>
      <c r="C26" s="155"/>
      <c r="D26" s="155"/>
      <c r="E26" s="155"/>
      <c r="F26" s="155"/>
      <c r="G26" s="155"/>
      <c r="H26" s="155"/>
      <c r="I26" s="155"/>
      <c r="J26" s="155"/>
      <c r="K26" s="156"/>
      <c r="M26" s="45"/>
      <c r="N26" s="46" t="s">
        <v>80</v>
      </c>
      <c r="O26" s="70">
        <f>O24-O25</f>
        <v>5.426400000000017</v>
      </c>
      <c r="P26" s="70">
        <f>P24-P25</f>
        <v>2.9172000000000056</v>
      </c>
      <c r="Q26" s="45"/>
    </row>
    <row r="27" spans="2:17" ht="15.75" thickTop="1" x14ac:dyDescent="0.25">
      <c r="B27" s="67" t="s">
        <v>76</v>
      </c>
      <c r="C27" s="46"/>
      <c r="D27" s="50"/>
      <c r="E27" s="68">
        <f>D6</f>
        <v>2015</v>
      </c>
      <c r="F27" s="68">
        <f>E6</f>
        <v>2016</v>
      </c>
      <c r="G27" s="50"/>
      <c r="H27" s="50" t="s">
        <v>77</v>
      </c>
      <c r="I27" s="50"/>
      <c r="J27" s="68">
        <f>D6</f>
        <v>2015</v>
      </c>
      <c r="K27" s="69">
        <f>E6</f>
        <v>2016</v>
      </c>
      <c r="M27" s="45"/>
      <c r="Q27" s="45"/>
    </row>
    <row r="28" spans="2:17" x14ac:dyDescent="0.25">
      <c r="B28" s="45"/>
      <c r="C28" s="157" t="s">
        <v>79</v>
      </c>
      <c r="D28" s="157"/>
      <c r="E28" s="50">
        <v>0.04</v>
      </c>
      <c r="F28" s="50">
        <v>0.05</v>
      </c>
      <c r="G28" s="50"/>
      <c r="H28" s="50"/>
      <c r="I28" s="50" t="s">
        <v>79</v>
      </c>
      <c r="J28" s="51">
        <f>J18</f>
        <v>5.44</v>
      </c>
      <c r="K28" s="52">
        <f>K18</f>
        <v>5.57</v>
      </c>
      <c r="M28" s="45"/>
      <c r="Q28" s="45"/>
    </row>
    <row r="29" spans="2:17" x14ac:dyDescent="0.25">
      <c r="B29" s="45"/>
      <c r="C29" s="157" t="s">
        <v>81</v>
      </c>
      <c r="D29" s="157"/>
      <c r="E29" s="50">
        <v>2.5</v>
      </c>
      <c r="F29" s="50">
        <v>2.5</v>
      </c>
      <c r="G29" s="50"/>
      <c r="H29" s="50"/>
      <c r="I29" s="50" t="s">
        <v>81</v>
      </c>
      <c r="J29" s="51">
        <v>12</v>
      </c>
      <c r="K29" s="52">
        <v>11.25</v>
      </c>
      <c r="M29" s="45"/>
      <c r="N29" s="46"/>
      <c r="O29" s="53"/>
      <c r="P29" s="60"/>
      <c r="Q29" s="45"/>
    </row>
    <row r="30" spans="2:17" x14ac:dyDescent="0.25">
      <c r="B30" s="45"/>
      <c r="C30" s="157" t="s">
        <v>82</v>
      </c>
      <c r="D30" s="157"/>
      <c r="E30" s="50">
        <f>E28*E29</f>
        <v>0.1</v>
      </c>
      <c r="F30" s="50">
        <f>F28*F29</f>
        <v>0.125</v>
      </c>
      <c r="G30" s="50"/>
      <c r="H30" s="50"/>
      <c r="I30" s="50" t="s">
        <v>83</v>
      </c>
      <c r="J30" s="51">
        <f>J29/J31</f>
        <v>12.030075187969889</v>
      </c>
      <c r="K30" s="52">
        <f>K29/K31</f>
        <v>21.480357877416662</v>
      </c>
      <c r="M30" s="45" t="s">
        <v>84</v>
      </c>
      <c r="N30" s="46"/>
      <c r="O30" s="53"/>
      <c r="P30" s="54"/>
    </row>
    <row r="31" spans="2:17" x14ac:dyDescent="0.25">
      <c r="B31" s="45"/>
      <c r="C31" s="158"/>
      <c r="D31" s="158"/>
      <c r="E31" s="50"/>
      <c r="F31" s="50"/>
      <c r="G31" s="50"/>
      <c r="H31" s="50"/>
      <c r="I31" s="61" t="s">
        <v>85</v>
      </c>
      <c r="J31" s="50">
        <f>O26/J28</f>
        <v>0.99750000000000305</v>
      </c>
      <c r="K31" s="71">
        <f>P26/K28</f>
        <v>0.52373429084380707</v>
      </c>
      <c r="M31" s="45"/>
      <c r="N31" s="46" t="s">
        <v>86</v>
      </c>
      <c r="O31" s="53">
        <v>1.36</v>
      </c>
      <c r="P31" s="54">
        <v>1.4134</v>
      </c>
    </row>
    <row r="32" spans="2:17" ht="15" customHeight="1" x14ac:dyDescent="0.25">
      <c r="B32" s="67" t="s">
        <v>181</v>
      </c>
      <c r="C32" s="50"/>
      <c r="E32" s="50">
        <f>J15+J10</f>
        <v>61.16</v>
      </c>
      <c r="F32" s="50">
        <f>K15+K10</f>
        <v>62.1145</v>
      </c>
      <c r="G32" s="50"/>
      <c r="H32" s="50"/>
      <c r="I32" s="50" t="s">
        <v>82</v>
      </c>
      <c r="J32" s="51">
        <f>J28*J29</f>
        <v>65.28</v>
      </c>
      <c r="K32" s="52">
        <f>K28*K29</f>
        <v>62.662500000000001</v>
      </c>
      <c r="M32" s="45"/>
      <c r="N32" s="62" t="s">
        <v>87</v>
      </c>
      <c r="O32" s="53">
        <v>0.02</v>
      </c>
      <c r="P32" s="54">
        <v>2.5000000000000001E-2</v>
      </c>
    </row>
    <row r="33" spans="2:16" x14ac:dyDescent="0.25">
      <c r="B33" s="65"/>
      <c r="C33" s="66"/>
      <c r="D33" s="66"/>
      <c r="E33" s="66"/>
      <c r="F33" s="66"/>
      <c r="G33" s="66"/>
      <c r="H33" s="66"/>
      <c r="I33" s="66"/>
      <c r="J33" s="66"/>
      <c r="K33" s="72"/>
      <c r="M33" s="65"/>
      <c r="N33" s="73" t="s">
        <v>88</v>
      </c>
      <c r="O33" s="63">
        <f>O26-O31-O32</f>
        <v>4.0464000000000171</v>
      </c>
      <c r="P33" s="59">
        <f>P26-P31-P32</f>
        <v>1.4788000000000057</v>
      </c>
    </row>
    <row r="35" spans="2:16" x14ac:dyDescent="0.25">
      <c r="D35" s="32">
        <f>D6</f>
        <v>2015</v>
      </c>
      <c r="E35" s="32">
        <f>E6</f>
        <v>2016</v>
      </c>
      <c r="F35" s="32"/>
      <c r="J35" s="32">
        <f>D6</f>
        <v>2015</v>
      </c>
      <c r="K35" s="32">
        <f>E6</f>
        <v>2016</v>
      </c>
      <c r="P35" s="64"/>
    </row>
    <row r="36" spans="2:16" x14ac:dyDescent="0.25">
      <c r="C36" t="s">
        <v>21</v>
      </c>
      <c r="D36" s="74">
        <f>O10-O16</f>
        <v>11.700000000000017</v>
      </c>
      <c r="E36" s="74">
        <f>P10-P16</f>
        <v>8.6500000000000057</v>
      </c>
      <c r="F36" s="75"/>
      <c r="I36" t="s">
        <v>114</v>
      </c>
      <c r="J36" s="86">
        <f>D36*(1-O39)</f>
        <v>7.7044500000000111</v>
      </c>
      <c r="K36" s="86">
        <f>E36*(1-P39)</f>
        <v>5.7090000000000032</v>
      </c>
      <c r="P36" s="76"/>
    </row>
    <row r="37" spans="2:16" x14ac:dyDescent="0.25">
      <c r="C37" t="s">
        <v>97</v>
      </c>
      <c r="D37" s="74">
        <f>D36+O15</f>
        <v>15.340000000000018</v>
      </c>
      <c r="E37" s="74">
        <f>E36+P15</f>
        <v>12.540000000000006</v>
      </c>
      <c r="F37" s="75"/>
      <c r="I37" t="s">
        <v>117</v>
      </c>
      <c r="J37" s="64">
        <f>J15+J21</f>
        <v>103.32999999999998</v>
      </c>
      <c r="K37" s="64">
        <f>K15+K21</f>
        <v>109.8428</v>
      </c>
      <c r="N37" s="153" t="s">
        <v>171</v>
      </c>
      <c r="O37" s="153"/>
      <c r="P37" s="153"/>
    </row>
    <row r="38" spans="2:16" x14ac:dyDescent="0.25">
      <c r="C38" t="s">
        <v>89</v>
      </c>
      <c r="D38" s="74">
        <f>D11-J10</f>
        <v>60.440000000000005</v>
      </c>
      <c r="E38" s="74">
        <f>E11-K10</f>
        <v>62.912500000000009</v>
      </c>
      <c r="F38" s="75"/>
      <c r="I38" t="s">
        <v>115</v>
      </c>
      <c r="J38" s="64">
        <f>D11+(D17-J10)</f>
        <v>103.33000000000001</v>
      </c>
      <c r="K38" s="64">
        <f>E11+(E17-K10)</f>
        <v>109.8425</v>
      </c>
      <c r="N38" t="s">
        <v>170</v>
      </c>
      <c r="O38" s="78">
        <f>O25/O24</f>
        <v>0.31999999999999934</v>
      </c>
      <c r="P38" s="78">
        <f>P25/P24</f>
        <v>0.31999999999999962</v>
      </c>
    </row>
    <row r="39" spans="2:16" x14ac:dyDescent="0.25">
      <c r="C39" t="s">
        <v>90</v>
      </c>
      <c r="D39" s="74">
        <f>D36+O15-O25</f>
        <v>12.786400000000018</v>
      </c>
      <c r="E39" s="74">
        <f>E36+P15-P25</f>
        <v>11.167200000000006</v>
      </c>
      <c r="F39" s="75"/>
      <c r="I39" t="s">
        <v>116</v>
      </c>
      <c r="J39" s="78">
        <f>(J36/J37)</f>
        <v>7.4561598761250486E-2</v>
      </c>
      <c r="K39" s="78">
        <f>(K36/K37)</f>
        <v>5.1974275965288606E-2</v>
      </c>
      <c r="N39" t="s">
        <v>135</v>
      </c>
      <c r="O39" s="78">
        <v>0.34150000000000003</v>
      </c>
      <c r="P39" s="78">
        <v>0.34</v>
      </c>
    </row>
    <row r="40" spans="2:16" x14ac:dyDescent="0.25">
      <c r="C40" t="s">
        <v>40</v>
      </c>
      <c r="D40" s="74"/>
      <c r="E40" s="74">
        <f>E17-D17+P15</f>
        <v>7.93</v>
      </c>
      <c r="F40" s="75"/>
      <c r="I40" t="s">
        <v>113</v>
      </c>
      <c r="K40" s="64">
        <f>K38-J38</f>
        <v>6.5124999999999886</v>
      </c>
      <c r="N40" t="s">
        <v>136</v>
      </c>
      <c r="O40" s="78">
        <v>0.34</v>
      </c>
      <c r="P40" s="78">
        <v>0.34</v>
      </c>
    </row>
    <row r="41" spans="2:16" x14ac:dyDescent="0.25">
      <c r="C41" s="79" t="s">
        <v>11</v>
      </c>
      <c r="D41" s="74"/>
      <c r="E41" s="74">
        <f>E38-D38</f>
        <v>2.4725000000000037</v>
      </c>
      <c r="F41" s="75"/>
      <c r="I41" s="41" t="s">
        <v>118</v>
      </c>
      <c r="K41" s="38">
        <f>K36+P15-E41-E40</f>
        <v>-0.80349999999999966</v>
      </c>
    </row>
    <row r="42" spans="2:16" x14ac:dyDescent="0.25">
      <c r="C42" t="s">
        <v>91</v>
      </c>
      <c r="D42" s="74"/>
      <c r="E42" s="80">
        <f>E39-E40-E41</f>
        <v>0.76470000000000304</v>
      </c>
      <c r="F42" s="75"/>
      <c r="I42" t="s">
        <v>182</v>
      </c>
      <c r="K42" s="38">
        <f>K36-K40</f>
        <v>-0.80349999999998545</v>
      </c>
    </row>
    <row r="43" spans="2:16" x14ac:dyDescent="0.25">
      <c r="C43" t="s">
        <v>92</v>
      </c>
      <c r="D43" s="74"/>
      <c r="E43" s="80">
        <f>E44+E45</f>
        <v>0.76439999999999841</v>
      </c>
      <c r="F43" s="75"/>
      <c r="N43" t="s">
        <v>172</v>
      </c>
      <c r="O43" s="74"/>
      <c r="P43" s="74">
        <f>K32+F30+J64-E8</f>
        <v>110.37689592928734</v>
      </c>
    </row>
    <row r="44" spans="2:16" x14ac:dyDescent="0.25">
      <c r="C44" t="s">
        <v>93</v>
      </c>
      <c r="D44" s="74"/>
      <c r="E44" s="74">
        <f>P22-(K15-J15)</f>
        <v>-0.53400000000000158</v>
      </c>
      <c r="F44" s="75"/>
      <c r="I44" t="s">
        <v>94</v>
      </c>
      <c r="J44" s="77"/>
      <c r="K44" s="78">
        <f>K53</f>
        <v>0.06</v>
      </c>
      <c r="N44" t="s">
        <v>174</v>
      </c>
      <c r="P44" s="88">
        <f>P43/E36</f>
        <v>12.76033478951298</v>
      </c>
    </row>
    <row r="45" spans="2:16" x14ac:dyDescent="0.25">
      <c r="C45" t="s">
        <v>95</v>
      </c>
      <c r="D45" s="74"/>
      <c r="E45" s="74">
        <f>(P31-(K18-J18))+(P32-(K19-J19))</f>
        <v>1.2984</v>
      </c>
      <c r="F45" s="75"/>
      <c r="I45" t="s">
        <v>96</v>
      </c>
      <c r="J45" s="82"/>
      <c r="K45" s="126">
        <f>P32/F30</f>
        <v>0.2</v>
      </c>
      <c r="P45" s="81"/>
    </row>
    <row r="46" spans="2:16" ht="18" x14ac:dyDescent="0.35">
      <c r="C46" t="s">
        <v>99</v>
      </c>
      <c r="D46" s="78">
        <f>(O26/D23)</f>
        <v>3.9367382472431926E-2</v>
      </c>
      <c r="E46" s="78">
        <f>(P26/E23)</f>
        <v>2.0775854087584519E-2</v>
      </c>
      <c r="F46" s="75"/>
      <c r="I46" t="s">
        <v>98</v>
      </c>
      <c r="K46" s="78">
        <f>K48+(K47-K48)*K49</f>
        <v>6.88E-2</v>
      </c>
      <c r="P46" s="83"/>
    </row>
    <row r="47" spans="2:16" x14ac:dyDescent="0.25">
      <c r="C47" t="s">
        <v>100</v>
      </c>
      <c r="D47" s="78">
        <f>O26/J21</f>
        <v>7.0766823161189582E-2</v>
      </c>
      <c r="E47" s="78">
        <f>P26/K21</f>
        <v>3.7257275973578211E-2</v>
      </c>
      <c r="F47" s="78"/>
      <c r="I47" t="s">
        <v>102</v>
      </c>
      <c r="J47" s="78">
        <v>0.18</v>
      </c>
      <c r="K47" s="78">
        <v>7.0000000000000007E-2</v>
      </c>
      <c r="P47" s="81"/>
    </row>
    <row r="48" spans="2:16" x14ac:dyDescent="0.25">
      <c r="C48" t="s">
        <v>101</v>
      </c>
      <c r="D48" s="78">
        <f>O26/O10</f>
        <v>2.3039103298942883E-2</v>
      </c>
      <c r="E48" s="78">
        <f>P26/P10</f>
        <v>1.1501340482573747E-2</v>
      </c>
      <c r="F48" s="78"/>
      <c r="I48" t="s">
        <v>104</v>
      </c>
      <c r="J48" s="78">
        <v>0.04</v>
      </c>
      <c r="K48" s="78">
        <v>0.04</v>
      </c>
      <c r="P48" s="81"/>
    </row>
    <row r="49" spans="3:17" x14ac:dyDescent="0.25">
      <c r="C49" t="s">
        <v>103</v>
      </c>
      <c r="D49" s="44">
        <f>O10/D23</f>
        <v>1.7087202553685432</v>
      </c>
      <c r="E49" s="44">
        <f>P10/E23</f>
        <v>1.8063854486407953</v>
      </c>
      <c r="F49" s="78"/>
      <c r="I49" t="s">
        <v>106</v>
      </c>
      <c r="J49">
        <v>1.3</v>
      </c>
      <c r="K49" s="38">
        <v>0.96</v>
      </c>
      <c r="P49" s="81"/>
    </row>
    <row r="50" spans="3:17" x14ac:dyDescent="0.25">
      <c r="C50" t="s">
        <v>105</v>
      </c>
      <c r="D50" s="74">
        <f>D23/J21</f>
        <v>1.7976004173187274</v>
      </c>
      <c r="E50" s="74">
        <f>E23/K21</f>
        <v>1.7932969598512367</v>
      </c>
      <c r="F50" s="44"/>
      <c r="P50" s="3"/>
    </row>
    <row r="51" spans="3:17" x14ac:dyDescent="0.25">
      <c r="C51" t="s">
        <v>107</v>
      </c>
      <c r="D51" s="78">
        <f>D48*D49*D50</f>
        <v>7.0766823161189582E-2</v>
      </c>
      <c r="E51" s="78">
        <f>E48*E49*E50</f>
        <v>3.7257275973578211E-2</v>
      </c>
      <c r="F51" s="74"/>
      <c r="I51" s="153" t="s">
        <v>183</v>
      </c>
      <c r="J51" s="153"/>
      <c r="K51" s="153"/>
      <c r="P51" s="74"/>
    </row>
    <row r="52" spans="3:17" x14ac:dyDescent="0.25">
      <c r="C52" t="s">
        <v>108</v>
      </c>
      <c r="D52" s="78">
        <f>O26/J21</f>
        <v>7.0766823161189582E-2</v>
      </c>
      <c r="E52" s="78">
        <f>P26/K21</f>
        <v>3.7257275973578211E-2</v>
      </c>
      <c r="F52" s="78"/>
      <c r="I52" t="s">
        <v>120</v>
      </c>
      <c r="K52" s="78">
        <v>0.14000000000000001</v>
      </c>
      <c r="P52" s="3"/>
    </row>
    <row r="53" spans="3:17" x14ac:dyDescent="0.25">
      <c r="C53" t="s">
        <v>109</v>
      </c>
      <c r="D53" s="78">
        <f>(O31+O32)/O26</f>
        <v>0.25431225121627521</v>
      </c>
      <c r="E53" s="78">
        <f>(P31+P32)/P26</f>
        <v>0.49307555189908031</v>
      </c>
      <c r="F53" s="78"/>
      <c r="I53" t="s">
        <v>121</v>
      </c>
      <c r="K53" s="78">
        <v>0.06</v>
      </c>
    </row>
    <row r="54" spans="3:17" x14ac:dyDescent="0.25">
      <c r="C54" t="s">
        <v>110</v>
      </c>
      <c r="D54" s="78">
        <f>O33/O26</f>
        <v>0.74568774878372479</v>
      </c>
      <c r="E54" s="78">
        <f>P33/P26</f>
        <v>0.50692444810091963</v>
      </c>
      <c r="F54" s="84"/>
      <c r="I54" s="41" t="s">
        <v>122</v>
      </c>
      <c r="K54" s="41">
        <v>2</v>
      </c>
    </row>
    <row r="55" spans="3:17" x14ac:dyDescent="0.25">
      <c r="C55" t="s">
        <v>111</v>
      </c>
      <c r="D55" s="78">
        <f>(D46*D54)/(1-(D46*D54))</f>
        <v>3.0243599095921007E-2</v>
      </c>
      <c r="E55" s="78">
        <f>(E46*E54)/(1-(E46*E54))</f>
        <v>1.0643887538129599E-2</v>
      </c>
      <c r="F55" s="3"/>
      <c r="I55" t="s">
        <v>123</v>
      </c>
      <c r="K55">
        <v>15</v>
      </c>
      <c r="Q55" s="85"/>
    </row>
    <row r="56" spans="3:17" x14ac:dyDescent="0.25">
      <c r="C56" t="s">
        <v>112</v>
      </c>
      <c r="D56" s="78">
        <f>(D47*D54)/(1-(D47*D54))</f>
        <v>5.5709754163362657E-2</v>
      </c>
      <c r="E56" s="78">
        <f>(E47*E54)/(1-(E47*E54))</f>
        <v>1.9250195261650688E-2</v>
      </c>
      <c r="F56" s="3"/>
      <c r="I56" t="s">
        <v>124</v>
      </c>
      <c r="K56">
        <f>K54*K55</f>
        <v>30</v>
      </c>
    </row>
    <row r="57" spans="3:17" x14ac:dyDescent="0.25">
      <c r="F57" s="3"/>
      <c r="I57" t="s">
        <v>125</v>
      </c>
      <c r="K57">
        <v>1000</v>
      </c>
    </row>
    <row r="58" spans="3:17" x14ac:dyDescent="0.25">
      <c r="I58" t="s">
        <v>126</v>
      </c>
      <c r="K58">
        <f>K57*K52/K54</f>
        <v>70</v>
      </c>
    </row>
    <row r="59" spans="3:17" x14ac:dyDescent="0.25">
      <c r="I59" t="s">
        <v>127</v>
      </c>
      <c r="K59" s="87">
        <f>-PV(K53/K54,K56,K58,K57)</f>
        <v>1784.0176539787908</v>
      </c>
    </row>
    <row r="60" spans="3:17" x14ac:dyDescent="0.25">
      <c r="I60" t="s">
        <v>128</v>
      </c>
      <c r="K60" s="74">
        <f>K14*1000000/1000</f>
        <v>30584</v>
      </c>
    </row>
    <row r="61" spans="3:17" x14ac:dyDescent="0.25">
      <c r="I61" t="s">
        <v>129</v>
      </c>
      <c r="K61" s="132">
        <f>K60*K59</f>
        <v>54562395.929287337</v>
      </c>
    </row>
    <row r="63" spans="3:17" x14ac:dyDescent="0.25">
      <c r="J63" s="89" t="s">
        <v>133</v>
      </c>
      <c r="K63" s="89" t="s">
        <v>132</v>
      </c>
    </row>
    <row r="64" spans="3:17" x14ac:dyDescent="0.25">
      <c r="I64" t="s">
        <v>6</v>
      </c>
      <c r="J64" s="64">
        <f>K13+(K61/1000000)</f>
        <v>55.522395929287335</v>
      </c>
      <c r="K64" s="78">
        <f>J64/J67</f>
        <v>0.46929629591148087</v>
      </c>
    </row>
    <row r="65" spans="9:11" x14ac:dyDescent="0.25">
      <c r="I65" t="s">
        <v>130</v>
      </c>
      <c r="J65" s="64">
        <f>K32</f>
        <v>62.662500000000001</v>
      </c>
      <c r="K65" s="78">
        <f>J65/J67</f>
        <v>0.52964715679787899</v>
      </c>
    </row>
    <row r="66" spans="9:11" x14ac:dyDescent="0.25">
      <c r="I66" t="s">
        <v>131</v>
      </c>
      <c r="J66" s="66">
        <f>F30</f>
        <v>0.125</v>
      </c>
      <c r="K66" s="133">
        <f>J66/J67</f>
        <v>1.0565472906400937E-3</v>
      </c>
    </row>
    <row r="67" spans="9:11" x14ac:dyDescent="0.25">
      <c r="I67" t="s">
        <v>53</v>
      </c>
      <c r="J67" s="64">
        <f>SUM(J64:J66)</f>
        <v>118.30989592928734</v>
      </c>
      <c r="K67" s="78">
        <f>SUM(K64:K66)</f>
        <v>1</v>
      </c>
    </row>
    <row r="69" spans="9:11" x14ac:dyDescent="0.25">
      <c r="I69" t="s">
        <v>119</v>
      </c>
      <c r="J69" s="78">
        <f>K65*K46+K66*K45+K64*K44*(1-P40)</f>
        <v>5.5235167163916743E-2</v>
      </c>
    </row>
    <row r="71" spans="9:11" ht="18" x14ac:dyDescent="0.35">
      <c r="I71" s="4" t="s">
        <v>196</v>
      </c>
      <c r="J71" s="78">
        <v>0.06</v>
      </c>
    </row>
    <row r="72" spans="9:11" ht="18" x14ac:dyDescent="0.35">
      <c r="I72" t="s">
        <v>22</v>
      </c>
      <c r="J72" s="78">
        <v>0.18</v>
      </c>
    </row>
  </sheetData>
  <mergeCells count="13">
    <mergeCell ref="I51:K51"/>
    <mergeCell ref="N37:P37"/>
    <mergeCell ref="B26:K26"/>
    <mergeCell ref="C28:D28"/>
    <mergeCell ref="C29:D29"/>
    <mergeCell ref="C30:D30"/>
    <mergeCell ref="C31:D31"/>
    <mergeCell ref="B2:K2"/>
    <mergeCell ref="M2:P2"/>
    <mergeCell ref="B3:K3"/>
    <mergeCell ref="M3:P3"/>
    <mergeCell ref="B4:K4"/>
    <mergeCell ref="M4:P4"/>
  </mergeCell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zoomScaleNormal="100" workbookViewId="0">
      <selection activeCell="T37" sqref="T37"/>
    </sheetView>
  </sheetViews>
  <sheetFormatPr defaultRowHeight="15" x14ac:dyDescent="0.25"/>
  <cols>
    <col min="5" max="5" width="11.5703125" bestFit="1" customWidth="1"/>
    <col min="6" max="8" width="10.7109375" customWidth="1"/>
    <col min="9" max="9" width="12.7109375" customWidth="1"/>
    <col min="10" max="10" width="10.5703125" bestFit="1" customWidth="1"/>
    <col min="11" max="11" width="10.5703125" customWidth="1"/>
    <col min="14" max="17" width="9.5703125" bestFit="1" customWidth="1"/>
    <col min="18" max="23" width="12.7109375" customWidth="1"/>
    <col min="24" max="24" width="4.7109375" customWidth="1"/>
    <col min="25" max="26" width="10.5703125" customWidth="1"/>
  </cols>
  <sheetData>
    <row r="1" spans="1:28" x14ac:dyDescent="0.25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8" x14ac:dyDescent="0.25">
      <c r="A2" s="153" t="s">
        <v>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8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8" x14ac:dyDescent="0.25">
      <c r="I4" s="32">
        <f>'Fin Stmt'!D6</f>
        <v>2015</v>
      </c>
      <c r="J4" s="32">
        <f>'Fin Stmt'!E6</f>
        <v>2016</v>
      </c>
    </row>
    <row r="5" spans="1:28" x14ac:dyDescent="0.25">
      <c r="A5" s="168" t="s">
        <v>137</v>
      </c>
      <c r="B5" s="160"/>
      <c r="C5" s="160"/>
      <c r="D5" s="127">
        <v>0.03</v>
      </c>
      <c r="F5" s="160" t="s">
        <v>5</v>
      </c>
      <c r="G5" s="160"/>
      <c r="H5" s="160"/>
      <c r="I5">
        <f>'Fin Stmt'!J15</f>
        <v>26.65</v>
      </c>
      <c r="J5">
        <f>'Fin Stmt'!K15</f>
        <v>31.544</v>
      </c>
      <c r="M5" s="42"/>
      <c r="N5" s="153" t="s">
        <v>155</v>
      </c>
      <c r="O5" s="153"/>
      <c r="P5" s="42"/>
      <c r="Q5" s="12"/>
      <c r="T5" s="42"/>
      <c r="U5" s="42"/>
      <c r="V5" s="42"/>
      <c r="W5" s="42"/>
    </row>
    <row r="6" spans="1:28" x14ac:dyDescent="0.25">
      <c r="A6" s="160" t="str">
        <f>'Fin Stmt'!N38</f>
        <v>Taxes Paid/Taxable Income</v>
      </c>
      <c r="B6" s="160"/>
      <c r="C6" s="160"/>
      <c r="D6" s="94">
        <f>'Fin Stmt'!P38</f>
        <v>0.31999999999999962</v>
      </c>
      <c r="M6" s="12"/>
      <c r="N6" s="5" t="s">
        <v>156</v>
      </c>
      <c r="O6" s="128">
        <v>0.06</v>
      </c>
      <c r="P6" s="12"/>
      <c r="Q6" s="12"/>
      <c r="T6" s="14"/>
      <c r="U6" s="14"/>
      <c r="V6" s="14"/>
      <c r="W6" s="14"/>
    </row>
    <row r="7" spans="1:28" x14ac:dyDescent="0.25">
      <c r="A7" s="160" t="s">
        <v>135</v>
      </c>
      <c r="B7" s="160"/>
      <c r="C7" s="160"/>
      <c r="D7" s="78">
        <f>'Fin Stmt'!P39</f>
        <v>0.34</v>
      </c>
      <c r="M7" s="42"/>
      <c r="N7" s="92" t="s">
        <v>157</v>
      </c>
      <c r="O7" s="128">
        <v>6.0000000000000001E-3</v>
      </c>
      <c r="P7" s="12"/>
      <c r="Q7" s="12"/>
      <c r="T7" s="12"/>
      <c r="U7" s="12"/>
      <c r="V7" s="12"/>
      <c r="W7" s="12"/>
    </row>
    <row r="8" spans="1:28" ht="18" x14ac:dyDescent="0.35">
      <c r="A8" s="160" t="s">
        <v>136</v>
      </c>
      <c r="B8" s="160"/>
      <c r="C8" s="160"/>
      <c r="D8" s="94">
        <f>'Fin Stmt'!P40</f>
        <v>0.34</v>
      </c>
      <c r="E8" s="4"/>
      <c r="F8" s="4"/>
      <c r="G8" s="43" t="s">
        <v>196</v>
      </c>
      <c r="H8" s="78">
        <f>'Fin Stmt'!J71</f>
        <v>0.06</v>
      </c>
      <c r="I8" s="43" t="s">
        <v>22</v>
      </c>
      <c r="J8" s="78">
        <f>'Fin Stmt'!J72</f>
        <v>0.18</v>
      </c>
      <c r="M8" s="12"/>
      <c r="N8" s="92" t="s">
        <v>190</v>
      </c>
      <c r="O8" s="131">
        <v>0.02</v>
      </c>
      <c r="P8" s="12"/>
      <c r="Q8" s="12"/>
      <c r="T8" s="12"/>
      <c r="U8" s="12"/>
      <c r="V8" s="12"/>
      <c r="W8" s="12"/>
    </row>
    <row r="9" spans="1:28" x14ac:dyDescent="0.25">
      <c r="A9" s="160" t="s">
        <v>13</v>
      </c>
      <c r="B9" s="160"/>
      <c r="C9" s="160"/>
      <c r="D9" s="146">
        <f>'Fin Stmt'!J69</f>
        <v>5.5235167163916743E-2</v>
      </c>
      <c r="G9" s="43"/>
      <c r="H9" s="3"/>
      <c r="M9" s="42"/>
      <c r="N9" s="107" t="s">
        <v>53</v>
      </c>
      <c r="O9" s="106">
        <f>SUM(O6:O8)</f>
        <v>8.6000000000000007E-2</v>
      </c>
      <c r="P9" s="42"/>
      <c r="Q9" s="42"/>
      <c r="T9" s="42"/>
      <c r="U9" s="42"/>
      <c r="V9" s="42"/>
      <c r="W9" s="42"/>
    </row>
    <row r="10" spans="1:28" x14ac:dyDescent="0.25">
      <c r="A10" s="43"/>
      <c r="B10" s="43"/>
      <c r="C10" s="43"/>
      <c r="M10" s="14"/>
      <c r="N10" s="14"/>
      <c r="P10" s="13"/>
      <c r="Q10" s="14"/>
      <c r="R10" s="14"/>
      <c r="S10" s="14"/>
      <c r="T10" s="14"/>
      <c r="U10" s="14"/>
      <c r="V10" s="14"/>
      <c r="W10" s="14"/>
    </row>
    <row r="11" spans="1:28" ht="30" customHeight="1" x14ac:dyDescent="0.25">
      <c r="A11" s="166" t="s">
        <v>160</v>
      </c>
      <c r="B11" s="166"/>
      <c r="C11" s="166"/>
      <c r="D11" s="3">
        <f>C14/J14</f>
        <v>0.28717481849011084</v>
      </c>
      <c r="F11" s="166" t="s">
        <v>161</v>
      </c>
      <c r="G11" s="166"/>
      <c r="H11" s="166"/>
      <c r="I11" s="3">
        <f>D14/J14</f>
        <v>2.3091244281584999</v>
      </c>
      <c r="J11" s="3"/>
    </row>
    <row r="12" spans="1:28" x14ac:dyDescent="0.25">
      <c r="R12" s="163"/>
      <c r="S12" s="163"/>
      <c r="T12" s="163"/>
      <c r="U12" s="163"/>
      <c r="V12" s="163"/>
      <c r="W12" s="163"/>
    </row>
    <row r="13" spans="1:28" ht="30" x14ac:dyDescent="0.25">
      <c r="B13" s="6" t="s">
        <v>0</v>
      </c>
      <c r="C13" s="6" t="s">
        <v>6</v>
      </c>
      <c r="D13" s="6" t="s">
        <v>1</v>
      </c>
      <c r="E13" s="6" t="s">
        <v>12</v>
      </c>
      <c r="F13" s="6" t="s">
        <v>2</v>
      </c>
      <c r="G13" s="6" t="s">
        <v>33</v>
      </c>
      <c r="H13" s="6" t="s">
        <v>21</v>
      </c>
      <c r="I13" s="6" t="s">
        <v>3</v>
      </c>
      <c r="J13" s="6" t="s">
        <v>9</v>
      </c>
      <c r="K13" s="6" t="s">
        <v>8</v>
      </c>
      <c r="L13" s="24" t="s">
        <v>89</v>
      </c>
      <c r="M13" s="7" t="s">
        <v>187</v>
      </c>
      <c r="N13" s="6" t="s">
        <v>10</v>
      </c>
      <c r="O13" s="6" t="s">
        <v>7</v>
      </c>
      <c r="P13" s="6" t="s">
        <v>158</v>
      </c>
      <c r="Q13" s="6"/>
      <c r="X13" s="9"/>
    </row>
    <row r="14" spans="1:28" x14ac:dyDescent="0.25">
      <c r="B14" s="1">
        <f>'Fin Stmt'!E6</f>
        <v>2016</v>
      </c>
      <c r="C14" s="1">
        <f>J5</f>
        <v>31.544</v>
      </c>
      <c r="D14" s="10">
        <f>'Fin Stmt'!P10</f>
        <v>253.64000000000001</v>
      </c>
      <c r="E14" s="10">
        <f>'Fin Stmt'!P13</f>
        <v>211.46</v>
      </c>
      <c r="F14" s="10">
        <f>'Fin Stmt'!P14</f>
        <v>29.64</v>
      </c>
      <c r="G14" s="10">
        <f>'Fin Stmt'!P15</f>
        <v>3.89</v>
      </c>
      <c r="H14" s="19">
        <f>D14-E14-F14-G14</f>
        <v>8.6500000000000057</v>
      </c>
      <c r="I14" s="10">
        <f>'Fin Stmt'!P21</f>
        <v>4.3600000000000003</v>
      </c>
      <c r="J14" s="1">
        <f>'Fin Stmt'!K38</f>
        <v>109.8425</v>
      </c>
      <c r="K14" s="1">
        <f>(D14-E14-F14-G14)*(1-$D$7)</f>
        <v>5.7090000000000032</v>
      </c>
      <c r="L14" s="129">
        <f>'Fin Stmt'!E38</f>
        <v>62.912500000000009</v>
      </c>
      <c r="M14" s="10">
        <f>'Fin Stmt'!E17</f>
        <v>46.93</v>
      </c>
      <c r="N14" s="10">
        <f>K14+G14-(L14-'Fin Stmt'!D38)-('Fin Stmt'!E17-'Fin Stmt'!D17+'Fin Stmt'!P15)</f>
        <v>-0.80349999999999966</v>
      </c>
      <c r="O14" s="11">
        <f>K14/J14</f>
        <v>5.1974417916562377E-2</v>
      </c>
      <c r="P14" s="14">
        <f>J14*(O14-$D$9)</f>
        <v>-0.35816884920252201</v>
      </c>
      <c r="S14" s="26"/>
      <c r="T14" s="26"/>
      <c r="V14" s="26"/>
      <c r="W14" s="26"/>
      <c r="X14" s="20"/>
      <c r="Y14" s="25"/>
      <c r="Z14" s="25"/>
    </row>
    <row r="15" spans="1:28" x14ac:dyDescent="0.25">
      <c r="A15">
        <v>1</v>
      </c>
      <c r="B15" s="1">
        <f>B14+1</f>
        <v>2017</v>
      </c>
      <c r="C15" s="10">
        <f>J15*$D$11</f>
        <v>34.256784000000003</v>
      </c>
      <c r="D15" s="10">
        <f>D14*(1+$D$22)</f>
        <v>275.45304000000004</v>
      </c>
      <c r="E15" s="10">
        <f t="shared" ref="E15:G20" si="0">E$22*$D15</f>
        <v>229.64556000000005</v>
      </c>
      <c r="F15" s="10">
        <f t="shared" si="0"/>
        <v>32.189040000000006</v>
      </c>
      <c r="G15" s="10">
        <f t="shared" si="0"/>
        <v>4.2245400000000002</v>
      </c>
      <c r="H15" s="19">
        <f>D15-E15-F15-G15</f>
        <v>9.3938999999999915</v>
      </c>
      <c r="I15" s="10">
        <f t="shared" ref="I15:I20" si="1">I$22*C14</f>
        <v>5.1606694183864921</v>
      </c>
      <c r="J15" s="10">
        <f>D15/$I$11</f>
        <v>119.288955</v>
      </c>
      <c r="K15" s="10">
        <f t="shared" ref="K15:K20" si="2">(D15-E15-F15-G15)*(1-$D$7)</f>
        <v>6.1999739999999939</v>
      </c>
      <c r="L15" s="10">
        <f t="shared" ref="L15:M19" si="3">L14*(1+$D$22)</f>
        <v>68.322975000000014</v>
      </c>
      <c r="M15" s="10">
        <f t="shared" si="3"/>
        <v>50.965980000000002</v>
      </c>
      <c r="N15" s="10">
        <f>K15+G15-(L15-L14)-(M15-M14+G15)</f>
        <v>-3.2464810000000135</v>
      </c>
      <c r="O15" s="11">
        <f t="shared" ref="O15:O20" si="4">K15/J15</f>
        <v>5.19744179165623E-2</v>
      </c>
      <c r="P15" s="14">
        <f>J15*(O15-$D$9)</f>
        <v>-0.38897137023394801</v>
      </c>
      <c r="Q15" s="3"/>
      <c r="X15" s="167"/>
      <c r="Z15" s="38"/>
      <c r="AB15" s="38"/>
    </row>
    <row r="16" spans="1:28" x14ac:dyDescent="0.25">
      <c r="A16">
        <f>A15+1</f>
        <v>2</v>
      </c>
      <c r="B16" s="1">
        <f t="shared" ref="B16:B20" si="5">B15+1</f>
        <v>2018</v>
      </c>
      <c r="C16" s="10">
        <f t="shared" ref="C16:C20" si="6">J16*$D$11</f>
        <v>37.202867423999997</v>
      </c>
      <c r="D16" s="10">
        <f>D15*(1+$D$22)</f>
        <v>299.14200144000006</v>
      </c>
      <c r="E16" s="10">
        <f t="shared" si="0"/>
        <v>249.39507816000005</v>
      </c>
      <c r="F16" s="10">
        <f t="shared" si="0"/>
        <v>34.957297440000005</v>
      </c>
      <c r="G16" s="10">
        <f t="shared" si="0"/>
        <v>4.5878504400000004</v>
      </c>
      <c r="H16" s="19">
        <f t="shared" ref="H16:H20" si="7">D16-E16-F16-G16</f>
        <v>10.201775399999999</v>
      </c>
      <c r="I16" s="10">
        <f t="shared" si="1"/>
        <v>5.6044869883677313</v>
      </c>
      <c r="J16" s="10">
        <f t="shared" ref="J16:J20" si="8">D16/$I$11</f>
        <v>129.54780513</v>
      </c>
      <c r="K16" s="10">
        <f t="shared" si="2"/>
        <v>6.7331717639999988</v>
      </c>
      <c r="L16" s="10">
        <f t="shared" si="3"/>
        <v>74.198750850000025</v>
      </c>
      <c r="M16" s="10">
        <f t="shared" si="3"/>
        <v>55.349054280000004</v>
      </c>
      <c r="N16" s="10">
        <f>K16+G16-(L16-L15)-(M16-M15+G16)</f>
        <v>-3.5256783660000153</v>
      </c>
      <c r="O16" s="11">
        <f t="shared" si="4"/>
        <v>5.1974417916562342E-2</v>
      </c>
      <c r="P16" s="14">
        <f t="shared" ref="P16:P20" si="9">J16*(O16-$D$9)</f>
        <v>-0.42242290807406213</v>
      </c>
      <c r="Q16" s="3"/>
      <c r="X16" s="167"/>
      <c r="Z16" s="38"/>
      <c r="AB16" s="38"/>
    </row>
    <row r="17" spans="1:28" x14ac:dyDescent="0.25">
      <c r="A17">
        <f t="shared" ref="A17:A19" si="10">A16+1</f>
        <v>3</v>
      </c>
      <c r="B17" s="1">
        <f t="shared" si="5"/>
        <v>2019</v>
      </c>
      <c r="C17" s="10">
        <f t="shared" si="6"/>
        <v>40.402314022464004</v>
      </c>
      <c r="D17" s="10">
        <f>D16*(1+$D$22)</f>
        <v>324.86821356384007</v>
      </c>
      <c r="E17" s="10">
        <f t="shared" si="0"/>
        <v>270.84305488176005</v>
      </c>
      <c r="F17" s="10">
        <f t="shared" si="0"/>
        <v>37.963625019840009</v>
      </c>
      <c r="G17" s="10">
        <f t="shared" si="0"/>
        <v>4.9824055778400007</v>
      </c>
      <c r="H17" s="19">
        <f t="shared" si="7"/>
        <v>11.079128084400008</v>
      </c>
      <c r="I17" s="10">
        <f t="shared" si="1"/>
        <v>6.0864728693673547</v>
      </c>
      <c r="J17" s="10">
        <f t="shared" si="8"/>
        <v>140.68891637118003</v>
      </c>
      <c r="K17" s="10">
        <f t="shared" si="2"/>
        <v>7.3122245357040043</v>
      </c>
      <c r="L17" s="10">
        <f t="shared" si="3"/>
        <v>80.57984342310003</v>
      </c>
      <c r="M17" s="10">
        <f t="shared" si="3"/>
        <v>60.109072948080012</v>
      </c>
      <c r="N17" s="10">
        <f t="shared" ref="N17:N20" si="11">K17+G17-(L17-L16)-(M17-M16+G17)</f>
        <v>-3.828886705476009</v>
      </c>
      <c r="O17" s="11">
        <f t="shared" si="4"/>
        <v>5.197441791656237E-2</v>
      </c>
      <c r="P17" s="14">
        <f t="shared" si="9"/>
        <v>-0.45875127816842765</v>
      </c>
      <c r="Q17" s="3"/>
      <c r="X17" s="167"/>
      <c r="Z17" s="38"/>
      <c r="AB17" s="38"/>
    </row>
    <row r="18" spans="1:28" x14ac:dyDescent="0.25">
      <c r="A18">
        <f t="shared" si="10"/>
        <v>4</v>
      </c>
      <c r="B18" s="1">
        <f t="shared" si="5"/>
        <v>2020</v>
      </c>
      <c r="C18" s="10">
        <f t="shared" si="6"/>
        <v>43.876913028395911</v>
      </c>
      <c r="D18" s="10">
        <f>D17*(1+$D$22)</f>
        <v>352.80687993033035</v>
      </c>
      <c r="E18" s="10">
        <f t="shared" si="0"/>
        <v>294.13555760159147</v>
      </c>
      <c r="F18" s="10">
        <f t="shared" si="0"/>
        <v>41.228496771546247</v>
      </c>
      <c r="G18" s="10">
        <f t="shared" si="0"/>
        <v>5.4108924575342412</v>
      </c>
      <c r="H18" s="19">
        <f t="shared" si="7"/>
        <v>12.031933099658392</v>
      </c>
      <c r="I18" s="10">
        <f t="shared" si="1"/>
        <v>6.6099095361329487</v>
      </c>
      <c r="J18" s="10">
        <f t="shared" si="8"/>
        <v>152.7881631791015</v>
      </c>
      <c r="K18" s="10">
        <f t="shared" si="2"/>
        <v>7.9410758457745381</v>
      </c>
      <c r="L18" s="10">
        <f t="shared" si="3"/>
        <v>87.509709957486635</v>
      </c>
      <c r="M18" s="10">
        <f t="shared" si="3"/>
        <v>65.278453221614896</v>
      </c>
      <c r="N18" s="10">
        <f t="shared" si="11"/>
        <v>-4.1581709621469507</v>
      </c>
      <c r="O18" s="11">
        <f t="shared" si="4"/>
        <v>5.1974417916562307E-2</v>
      </c>
      <c r="P18" s="14">
        <f t="shared" si="9"/>
        <v>-0.49820388809092198</v>
      </c>
      <c r="Q18" s="3"/>
      <c r="X18" s="167"/>
      <c r="Z18" s="38"/>
      <c r="AB18" s="38"/>
    </row>
    <row r="19" spans="1:28" x14ac:dyDescent="0.25">
      <c r="A19">
        <f t="shared" si="10"/>
        <v>5</v>
      </c>
      <c r="B19" s="1">
        <f t="shared" si="5"/>
        <v>2021</v>
      </c>
      <c r="C19" s="10">
        <f t="shared" si="6"/>
        <v>47.650327548837964</v>
      </c>
      <c r="D19" s="10">
        <f>D18*(1+$D$22)</f>
        <v>383.14827160433879</v>
      </c>
      <c r="E19" s="10">
        <f t="shared" si="0"/>
        <v>319.43121555532832</v>
      </c>
      <c r="F19" s="10">
        <f t="shared" si="0"/>
        <v>44.774147493899228</v>
      </c>
      <c r="G19" s="10">
        <f t="shared" si="0"/>
        <v>5.8762292088821866</v>
      </c>
      <c r="H19" s="19">
        <f t="shared" si="7"/>
        <v>13.066679346229051</v>
      </c>
      <c r="I19" s="10">
        <f t="shared" si="1"/>
        <v>7.1783617562403821</v>
      </c>
      <c r="J19" s="10">
        <f t="shared" si="8"/>
        <v>165.92794521250426</v>
      </c>
      <c r="K19" s="10">
        <f t="shared" si="2"/>
        <v>8.6240083685111735</v>
      </c>
      <c r="L19" s="10">
        <f t="shared" si="3"/>
        <v>95.035545013830486</v>
      </c>
      <c r="M19" s="10">
        <f t="shared" si="3"/>
        <v>70.892400198673784</v>
      </c>
      <c r="N19" s="10">
        <f t="shared" si="11"/>
        <v>-4.5157736648915652</v>
      </c>
      <c r="O19" s="11">
        <f t="shared" si="4"/>
        <v>5.1974417916562446E-2</v>
      </c>
      <c r="P19" s="14">
        <f t="shared" si="9"/>
        <v>-0.54104942246671828</v>
      </c>
      <c r="Q19" s="3"/>
      <c r="X19" s="167"/>
      <c r="Z19" s="38"/>
      <c r="AB19" s="38"/>
    </row>
    <row r="20" spans="1:28" x14ac:dyDescent="0.25">
      <c r="B20" s="1">
        <f t="shared" si="5"/>
        <v>2022</v>
      </c>
      <c r="C20" s="10">
        <f t="shared" si="6"/>
        <v>49.0798373753031</v>
      </c>
      <c r="D20" s="10">
        <f>D19*(1+$D$5)</f>
        <v>394.64271975246896</v>
      </c>
      <c r="E20" s="10">
        <f t="shared" si="0"/>
        <v>329.0141520219882</v>
      </c>
      <c r="F20" s="10">
        <f t="shared" si="0"/>
        <v>46.117371918716209</v>
      </c>
      <c r="G20" s="10">
        <f t="shared" si="0"/>
        <v>6.0525160851486524</v>
      </c>
      <c r="H20" s="19">
        <f t="shared" si="7"/>
        <v>13.458679726615905</v>
      </c>
      <c r="I20" s="10">
        <f t="shared" si="1"/>
        <v>7.7957008672770565</v>
      </c>
      <c r="J20" s="10">
        <f t="shared" si="8"/>
        <v>170.90578356887937</v>
      </c>
      <c r="K20" s="10">
        <f t="shared" si="2"/>
        <v>8.8827286195664961</v>
      </c>
      <c r="L20" s="10">
        <f t="shared" ref="L20:M20" si="12">L19*(1+$D$5)</f>
        <v>97.886611364245397</v>
      </c>
      <c r="M20" s="10">
        <f t="shared" si="12"/>
        <v>73.019172204634003</v>
      </c>
      <c r="N20" s="10">
        <f t="shared" si="11"/>
        <v>3.9048902631913656</v>
      </c>
      <c r="O20" s="11">
        <f t="shared" si="4"/>
        <v>5.1974417916562377E-2</v>
      </c>
      <c r="P20" s="14">
        <f t="shared" si="9"/>
        <v>-0.5572809051407317</v>
      </c>
      <c r="S20" s="27"/>
      <c r="T20" s="27"/>
      <c r="V20" s="27"/>
      <c r="W20" s="27"/>
      <c r="X20" s="167"/>
      <c r="Z20" s="38"/>
      <c r="AB20" s="38"/>
    </row>
    <row r="21" spans="1:28" x14ac:dyDescent="0.25"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"/>
      <c r="Q21" s="14"/>
      <c r="R21" s="28"/>
      <c r="S21" s="28"/>
      <c r="T21" s="28"/>
      <c r="U21" s="28"/>
      <c r="V21" s="28"/>
      <c r="W21" s="28"/>
      <c r="X21" s="21"/>
    </row>
    <row r="22" spans="1:28" x14ac:dyDescent="0.25">
      <c r="B22" s="160" t="s">
        <v>4</v>
      </c>
      <c r="C22" s="160"/>
      <c r="D22" s="125">
        <f>O9</f>
        <v>8.6000000000000007E-2</v>
      </c>
      <c r="E22" s="125">
        <f>E14/$D$14</f>
        <v>0.83370130894180727</v>
      </c>
      <c r="F22" s="125">
        <f>F14/$D$14</f>
        <v>0.11685853966251379</v>
      </c>
      <c r="G22" s="125">
        <f>G14/$D$14</f>
        <v>1.5336697681753666E-2</v>
      </c>
      <c r="H22" s="105"/>
      <c r="I22" s="125">
        <f>I14/$I$5</f>
        <v>0.16360225140712947</v>
      </c>
      <c r="J22" s="10"/>
      <c r="K22" s="10"/>
      <c r="L22" s="10"/>
      <c r="M22" s="10"/>
      <c r="N22" s="10"/>
      <c r="O22" s="10"/>
      <c r="P22" s="2"/>
      <c r="Q22" s="14"/>
      <c r="R22" s="28"/>
      <c r="S22" s="28"/>
      <c r="T22" s="28"/>
      <c r="U22" s="28"/>
      <c r="V22" s="28"/>
      <c r="W22" s="28"/>
      <c r="X22" s="21"/>
    </row>
    <row r="23" spans="1:28" x14ac:dyDescent="0.25">
      <c r="L23" s="163" t="s">
        <v>34</v>
      </c>
      <c r="M23" s="163"/>
      <c r="N23" s="163"/>
      <c r="O23" s="163"/>
      <c r="P23" s="163"/>
      <c r="Q23" s="163"/>
      <c r="R23" s="93"/>
      <c r="S23" s="93"/>
      <c r="X23" s="12"/>
    </row>
    <row r="24" spans="1:28" ht="18" x14ac:dyDescent="0.35">
      <c r="B24" s="161" t="s">
        <v>159</v>
      </c>
      <c r="C24" s="161"/>
      <c r="D24" s="161"/>
      <c r="E24" s="161"/>
      <c r="F24" s="162" t="s">
        <v>10</v>
      </c>
      <c r="G24" s="162"/>
      <c r="H24" s="162"/>
      <c r="I24" s="165" t="s">
        <v>139</v>
      </c>
      <c r="J24" s="165"/>
      <c r="K24" s="165"/>
      <c r="L24" s="164" t="s">
        <v>14</v>
      </c>
      <c r="M24" s="164"/>
      <c r="N24" s="164"/>
      <c r="O24" s="164" t="s">
        <v>15</v>
      </c>
      <c r="P24" s="164"/>
      <c r="Q24" s="164"/>
      <c r="R24" s="159" t="s">
        <v>186</v>
      </c>
      <c r="S24" s="159"/>
      <c r="T24" s="159"/>
      <c r="X24" s="22"/>
      <c r="Y24" s="29"/>
      <c r="Z24" s="29"/>
      <c r="AA24" s="29"/>
    </row>
    <row r="25" spans="1:28" ht="33" x14ac:dyDescent="0.35">
      <c r="B25" s="17" t="s">
        <v>0</v>
      </c>
      <c r="C25" s="17" t="s">
        <v>20</v>
      </c>
      <c r="D25" s="17" t="s">
        <v>23</v>
      </c>
      <c r="E25" s="17" t="s">
        <v>24</v>
      </c>
      <c r="F25" s="34" t="s">
        <v>10</v>
      </c>
      <c r="G25" s="34" t="s">
        <v>25</v>
      </c>
      <c r="H25" s="34" t="s">
        <v>26</v>
      </c>
      <c r="I25" s="99" t="s">
        <v>10</v>
      </c>
      <c r="J25" s="99" t="s">
        <v>140</v>
      </c>
      <c r="K25" s="99" t="s">
        <v>141</v>
      </c>
      <c r="L25" s="39" t="s">
        <v>10</v>
      </c>
      <c r="M25" s="39" t="s">
        <v>38</v>
      </c>
      <c r="N25" s="39" t="s">
        <v>39</v>
      </c>
      <c r="O25" s="39" t="s">
        <v>35</v>
      </c>
      <c r="P25" s="39" t="s">
        <v>36</v>
      </c>
      <c r="Q25" s="39" t="s">
        <v>37</v>
      </c>
      <c r="R25" s="102" t="s">
        <v>10</v>
      </c>
      <c r="S25" s="102" t="s">
        <v>146</v>
      </c>
      <c r="T25" s="102" t="s">
        <v>147</v>
      </c>
      <c r="X25" s="23"/>
      <c r="Z25" s="27"/>
      <c r="AA25" s="27"/>
    </row>
    <row r="26" spans="1:28" x14ac:dyDescent="0.25">
      <c r="B26" s="15">
        <f t="shared" ref="B26:B32" si="13">B14</f>
        <v>2016</v>
      </c>
      <c r="C26" s="18">
        <f t="shared" ref="C26:C32" si="14">P14</f>
        <v>-0.35816884920252201</v>
      </c>
      <c r="D26" s="37"/>
      <c r="E26" s="12"/>
      <c r="F26" s="35">
        <f t="shared" ref="F26:F32" si="15">N14</f>
        <v>-0.80349999999999966</v>
      </c>
      <c r="G26" s="35"/>
      <c r="H26" s="35"/>
      <c r="I26" s="100">
        <f t="shared" ref="I26:I32" si="16">N14</f>
        <v>-0.80349999999999966</v>
      </c>
      <c r="J26" s="100"/>
      <c r="K26" s="100"/>
      <c r="L26" s="40">
        <f t="shared" ref="L26:L32" si="17">N14</f>
        <v>-0.80349999999999966</v>
      </c>
      <c r="M26" s="110"/>
      <c r="N26" s="110"/>
      <c r="O26" s="40">
        <f t="shared" ref="O26:O32" si="18">I14*$D$8</f>
        <v>1.4824000000000002</v>
      </c>
      <c r="P26" s="110"/>
      <c r="Q26" s="110"/>
      <c r="R26" s="103">
        <f t="shared" ref="R26:R32" si="19">N14</f>
        <v>-0.80349999999999966</v>
      </c>
      <c r="S26" s="121"/>
      <c r="T26" s="121"/>
      <c r="X26" s="8"/>
      <c r="Z26" s="27"/>
      <c r="AA26" s="27"/>
    </row>
    <row r="27" spans="1:28" x14ac:dyDescent="0.25">
      <c r="A27">
        <v>1</v>
      </c>
      <c r="B27" s="15">
        <f t="shared" si="13"/>
        <v>2017</v>
      </c>
      <c r="C27" s="18">
        <f t="shared" si="14"/>
        <v>-0.38897137023394801</v>
      </c>
      <c r="D27" s="108">
        <f>C27/((1+$D$9)^A27)</f>
        <v>-0.36861107584137831</v>
      </c>
      <c r="E27" s="108">
        <f>D27</f>
        <v>-0.36861107584137831</v>
      </c>
      <c r="F27" s="35">
        <f t="shared" si="15"/>
        <v>-3.2464810000000135</v>
      </c>
      <c r="G27" s="35">
        <f>F27/((1+$D$9)^$A27)</f>
        <v>-3.0765473905929031</v>
      </c>
      <c r="H27" s="35">
        <f>G27</f>
        <v>-3.0765473905929031</v>
      </c>
      <c r="I27" s="100">
        <f t="shared" si="16"/>
        <v>-3.2464810000000135</v>
      </c>
      <c r="J27" s="100">
        <f>I27/((1+$D$9)^$A27)</f>
        <v>-3.0765473905929031</v>
      </c>
      <c r="K27" s="100">
        <f>J27</f>
        <v>-3.0765473905929031</v>
      </c>
      <c r="L27" s="40">
        <f t="shared" si="17"/>
        <v>-3.2464810000000135</v>
      </c>
      <c r="M27" s="40">
        <f>N15/((1+$H$8)^A15)</f>
        <v>-3.0627179245283145</v>
      </c>
      <c r="N27" s="40">
        <f>M27</f>
        <v>-3.0627179245283145</v>
      </c>
      <c r="O27" s="40">
        <f t="shared" si="18"/>
        <v>1.7546276022514073</v>
      </c>
      <c r="P27" s="40">
        <f>O27/((1+$J$8)^A15)</f>
        <v>1.4869725442808537</v>
      </c>
      <c r="Q27" s="40">
        <f>P27</f>
        <v>1.4869725442808537</v>
      </c>
      <c r="R27" s="103">
        <f t="shared" si="19"/>
        <v>-3.2464810000000135</v>
      </c>
      <c r="S27" s="103">
        <f>R27/((1+$D$9)^A15)</f>
        <v>-3.0765473905929031</v>
      </c>
      <c r="T27" s="103">
        <f>S27</f>
        <v>-3.0765473905929031</v>
      </c>
      <c r="Z27" s="27"/>
      <c r="AA27" s="27"/>
    </row>
    <row r="28" spans="1:28" x14ac:dyDescent="0.25">
      <c r="A28">
        <v>2</v>
      </c>
      <c r="B28" s="15">
        <f t="shared" si="13"/>
        <v>2018</v>
      </c>
      <c r="C28" s="18">
        <f t="shared" si="14"/>
        <v>-0.42242290807406213</v>
      </c>
      <c r="D28" s="108">
        <f>C28/((1+$D$9)^A28)</f>
        <v>-0.37935774017048912</v>
      </c>
      <c r="E28" s="108">
        <f>E27+D28</f>
        <v>-0.74796881601186738</v>
      </c>
      <c r="F28" s="35">
        <f t="shared" si="15"/>
        <v>-3.5256783660000153</v>
      </c>
      <c r="G28" s="35">
        <f>F28/((1+$D$9)^A28)</f>
        <v>-3.1662425307181725</v>
      </c>
      <c r="H28" s="35">
        <f>H27+G28</f>
        <v>-6.2427899213110756</v>
      </c>
      <c r="I28" s="100">
        <f t="shared" si="16"/>
        <v>-3.5256783660000153</v>
      </c>
      <c r="J28" s="100">
        <f>I28/((1+$D$9)^$A28)</f>
        <v>-3.1662425307181725</v>
      </c>
      <c r="K28" s="100">
        <f>K27+J28</f>
        <v>-6.2427899213110756</v>
      </c>
      <c r="L28" s="40">
        <f t="shared" si="17"/>
        <v>-3.5256783660000153</v>
      </c>
      <c r="M28" s="40">
        <f>N16/((1+$H$8)^A16)</f>
        <v>-3.1378411943752358</v>
      </c>
      <c r="N28" s="40">
        <f>N27+M28</f>
        <v>-6.2005591189035503</v>
      </c>
      <c r="O28" s="40">
        <f t="shared" si="18"/>
        <v>1.9055255760450287</v>
      </c>
      <c r="P28" s="40">
        <f>O28/((1+$J$8)^A16)</f>
        <v>1.3685187992279726</v>
      </c>
      <c r="Q28" s="40">
        <f>Q27+P28</f>
        <v>2.8554913435088265</v>
      </c>
      <c r="R28" s="103">
        <f t="shared" si="19"/>
        <v>-3.5256783660000153</v>
      </c>
      <c r="S28" s="103">
        <f t="shared" ref="S28:S31" si="20">R28/((1+$D$9)^A16)</f>
        <v>-3.1662425307181725</v>
      </c>
      <c r="T28" s="103">
        <f>T27+S28</f>
        <v>-6.2427899213110756</v>
      </c>
      <c r="Z28" s="27"/>
      <c r="AA28" s="27"/>
    </row>
    <row r="29" spans="1:28" x14ac:dyDescent="0.25">
      <c r="A29">
        <v>3</v>
      </c>
      <c r="B29" s="15">
        <f t="shared" si="13"/>
        <v>2019</v>
      </c>
      <c r="C29" s="18">
        <f t="shared" si="14"/>
        <v>-0.45875127816842765</v>
      </c>
      <c r="D29" s="108">
        <f>C29/((1+$D$9)^A29)</f>
        <v>-0.39041771791249619</v>
      </c>
      <c r="E29" s="108">
        <f t="shared" ref="E29:E31" si="21">E28+D29</f>
        <v>-1.1383865339243635</v>
      </c>
      <c r="F29" s="35">
        <f t="shared" si="15"/>
        <v>-3.828886705476009</v>
      </c>
      <c r="G29" s="35">
        <f>F29/((1+$D$9)^A29)</f>
        <v>-3.2585526860343892</v>
      </c>
      <c r="H29" s="35">
        <f t="shared" ref="H29:H31" si="22">H28+G29</f>
        <v>-9.5013426073454639</v>
      </c>
      <c r="I29" s="100">
        <f t="shared" si="16"/>
        <v>-3.828886705476009</v>
      </c>
      <c r="J29" s="100">
        <f>I29/((1+$D$9)^$A29)</f>
        <v>-3.2585526860343892</v>
      </c>
      <c r="K29" s="100">
        <f t="shared" ref="K29:K31" si="23">K28+J29</f>
        <v>-9.5013426073454639</v>
      </c>
      <c r="L29" s="40">
        <f t="shared" si="17"/>
        <v>-3.828886705476009</v>
      </c>
      <c r="M29" s="40">
        <f>N17/((1+$H$8)^A17)</f>
        <v>-3.2148071104636782</v>
      </c>
      <c r="N29" s="40">
        <f>N28+M29</f>
        <v>-9.415366229367228</v>
      </c>
      <c r="O29" s="40">
        <f t="shared" si="18"/>
        <v>2.0694007755849007</v>
      </c>
      <c r="P29" s="40">
        <f>O29/((1+$J$8)^A17)</f>
        <v>1.2595011999674388</v>
      </c>
      <c r="Q29" s="40">
        <f t="shared" ref="Q29:Q31" si="24">Q28+P29</f>
        <v>4.1149925434762658</v>
      </c>
      <c r="R29" s="103">
        <f t="shared" si="19"/>
        <v>-3.828886705476009</v>
      </c>
      <c r="S29" s="103">
        <f t="shared" si="20"/>
        <v>-3.2585526860343892</v>
      </c>
      <c r="T29" s="103">
        <f>T28+S29</f>
        <v>-9.5013426073454639</v>
      </c>
    </row>
    <row r="30" spans="1:28" x14ac:dyDescent="0.25">
      <c r="A30">
        <v>4</v>
      </c>
      <c r="B30" s="15">
        <f t="shared" si="13"/>
        <v>2020</v>
      </c>
      <c r="C30" s="18">
        <f t="shared" si="14"/>
        <v>-0.49820388809092198</v>
      </c>
      <c r="D30" s="108">
        <f>C30/((1+$D$9)^A30)</f>
        <v>-0.40180014355711596</v>
      </c>
      <c r="E30" s="108">
        <f t="shared" si="21"/>
        <v>-1.5401866774814794</v>
      </c>
      <c r="F30" s="35">
        <f t="shared" si="15"/>
        <v>-4.1581709621469507</v>
      </c>
      <c r="G30" s="35">
        <f>F30/((1+$D$9)^A30)</f>
        <v>-3.3535540959502992</v>
      </c>
      <c r="H30" s="35">
        <f t="shared" si="22"/>
        <v>-12.854896703295763</v>
      </c>
      <c r="I30" s="100">
        <f t="shared" si="16"/>
        <v>-4.1581709621469507</v>
      </c>
      <c r="J30" s="100">
        <f>I30/((1+$D$9)^$A30)</f>
        <v>-3.3535540959502992</v>
      </c>
      <c r="K30" s="100">
        <f t="shared" si="23"/>
        <v>-12.854896703295763</v>
      </c>
      <c r="L30" s="40">
        <f t="shared" si="17"/>
        <v>-4.1581709621469507</v>
      </c>
      <c r="M30" s="40">
        <f>N18/((1+$H$8)^A18)</f>
        <v>-3.2936608697769421</v>
      </c>
      <c r="N30" s="40">
        <f>N29+M30</f>
        <v>-12.709027099144169</v>
      </c>
      <c r="O30" s="40">
        <f t="shared" si="18"/>
        <v>2.2473692422852025</v>
      </c>
      <c r="P30" s="40">
        <f>O30/((1+$J$8)^A18)</f>
        <v>1.1591680535293549</v>
      </c>
      <c r="Q30" s="40">
        <f t="shared" si="24"/>
        <v>5.2741605970056202</v>
      </c>
      <c r="R30" s="103">
        <f t="shared" si="19"/>
        <v>-4.1581709621469507</v>
      </c>
      <c r="S30" s="103">
        <f t="shared" si="20"/>
        <v>-3.3535540959502992</v>
      </c>
      <c r="T30" s="103">
        <f>T29+S30</f>
        <v>-12.854896703295763</v>
      </c>
    </row>
    <row r="31" spans="1:28" x14ac:dyDescent="0.25">
      <c r="A31">
        <v>5</v>
      </c>
      <c r="B31" s="15">
        <f t="shared" si="13"/>
        <v>2021</v>
      </c>
      <c r="C31" s="18">
        <f t="shared" si="14"/>
        <v>-0.54104942246671828</v>
      </c>
      <c r="D31" s="108">
        <f>C31/((1+$D$9)^A31)</f>
        <v>-0.4135144179053194</v>
      </c>
      <c r="E31" s="108">
        <f t="shared" si="21"/>
        <v>-1.9537010953867988</v>
      </c>
      <c r="F31" s="35">
        <f t="shared" si="15"/>
        <v>-4.5157736648915652</v>
      </c>
      <c r="G31" s="35">
        <f>F31/((1+$D$9)^A31)</f>
        <v>-3.4513252225949329</v>
      </c>
      <c r="H31" s="35">
        <f t="shared" si="22"/>
        <v>-16.306221925890696</v>
      </c>
      <c r="I31" s="100">
        <f t="shared" si="16"/>
        <v>-4.5157736648915652</v>
      </c>
      <c r="J31" s="100">
        <f>I31/((1+$D$9)^$A31)</f>
        <v>-3.4513252225949329</v>
      </c>
      <c r="K31" s="100">
        <f t="shared" si="23"/>
        <v>-16.306221925890696</v>
      </c>
      <c r="L31" s="40">
        <f t="shared" si="17"/>
        <v>-4.5157736648915652</v>
      </c>
      <c r="M31" s="40">
        <f>N19/((1+$H$8)^A19)</f>
        <v>-3.3744487779035284</v>
      </c>
      <c r="N31" s="40">
        <f>N30+M31</f>
        <v>-16.083475877047697</v>
      </c>
      <c r="O31" s="40">
        <f t="shared" si="18"/>
        <v>2.4406429971217301</v>
      </c>
      <c r="P31" s="40">
        <f>O31/((1+$J$8)^A19)</f>
        <v>1.0668275475702371</v>
      </c>
      <c r="Q31" s="40">
        <f t="shared" si="24"/>
        <v>6.3409881445758574</v>
      </c>
      <c r="R31" s="103">
        <f t="shared" si="19"/>
        <v>-4.5157736648915652</v>
      </c>
      <c r="S31" s="103">
        <f t="shared" si="20"/>
        <v>-3.4513252225949329</v>
      </c>
      <c r="T31" s="103">
        <f>T30+S31</f>
        <v>-16.306221925890696</v>
      </c>
    </row>
    <row r="32" spans="1:28" x14ac:dyDescent="0.25">
      <c r="B32" s="15">
        <f t="shared" si="13"/>
        <v>2022</v>
      </c>
      <c r="C32" s="18">
        <f t="shared" si="14"/>
        <v>-0.5572809051407317</v>
      </c>
      <c r="D32" s="16"/>
      <c r="F32" s="35">
        <f t="shared" si="15"/>
        <v>3.9048902631913656</v>
      </c>
      <c r="G32" s="35"/>
      <c r="H32" s="35"/>
      <c r="I32" s="100">
        <f t="shared" si="16"/>
        <v>3.9048902631913656</v>
      </c>
      <c r="J32" s="100"/>
      <c r="K32" s="100"/>
      <c r="L32" s="40">
        <f t="shared" si="17"/>
        <v>3.9048902631913656</v>
      </c>
      <c r="M32" s="110"/>
      <c r="N32" s="110"/>
      <c r="O32" s="40">
        <f t="shared" si="18"/>
        <v>2.6505382948741993</v>
      </c>
      <c r="P32" s="110"/>
      <c r="Q32" s="110"/>
      <c r="R32" s="103">
        <f t="shared" si="19"/>
        <v>3.9048902631913656</v>
      </c>
      <c r="S32" s="121"/>
      <c r="T32" s="121"/>
    </row>
    <row r="33" spans="2:20" x14ac:dyDescent="0.25">
      <c r="B33" s="15"/>
      <c r="C33" s="15"/>
      <c r="D33" s="15"/>
      <c r="F33" s="36"/>
      <c r="G33" s="36"/>
      <c r="H33" s="36"/>
      <c r="I33" s="101"/>
      <c r="J33" s="101"/>
      <c r="K33" s="101"/>
      <c r="L33" s="30"/>
      <c r="M33" s="30"/>
      <c r="N33" s="30"/>
      <c r="O33" s="30"/>
      <c r="P33" s="30"/>
      <c r="Q33" s="30"/>
      <c r="R33" s="104"/>
      <c r="S33" s="104"/>
      <c r="T33" s="104"/>
    </row>
    <row r="34" spans="2:20" ht="18" x14ac:dyDescent="0.35">
      <c r="B34" s="15"/>
      <c r="D34" s="31" t="s">
        <v>173</v>
      </c>
      <c r="E34" s="114">
        <f>J14</f>
        <v>109.8425</v>
      </c>
      <c r="F34" s="115"/>
      <c r="G34" s="116" t="s">
        <v>25</v>
      </c>
      <c r="H34" s="115">
        <f>H31</f>
        <v>-16.306221925890696</v>
      </c>
      <c r="I34" s="109"/>
      <c r="J34" s="117" t="s">
        <v>142</v>
      </c>
      <c r="K34" s="109">
        <f>K31</f>
        <v>-16.306221925890696</v>
      </c>
      <c r="L34" s="118"/>
      <c r="M34" s="119" t="s">
        <v>38</v>
      </c>
      <c r="N34" s="118">
        <f>N31</f>
        <v>-16.083475877047697</v>
      </c>
      <c r="O34" s="118"/>
      <c r="P34" s="119" t="s">
        <v>148</v>
      </c>
      <c r="Q34" s="118">
        <f>Q31</f>
        <v>6.3409881445758574</v>
      </c>
      <c r="R34" s="122"/>
      <c r="S34" s="123" t="s">
        <v>175</v>
      </c>
      <c r="T34" s="122">
        <f>T31</f>
        <v>-16.306221925890696</v>
      </c>
    </row>
    <row r="35" spans="2:20" ht="18" x14ac:dyDescent="0.35">
      <c r="D35" s="31" t="s">
        <v>17</v>
      </c>
      <c r="E35" s="114">
        <f>E31</f>
        <v>-1.9537010953867988</v>
      </c>
      <c r="F35" s="115"/>
      <c r="G35" s="116" t="s">
        <v>30</v>
      </c>
      <c r="H35" s="115">
        <f>(F32)/(D9-D5)</f>
        <v>154.74001966489405</v>
      </c>
      <c r="I35" s="109"/>
      <c r="J35" s="117" t="s">
        <v>143</v>
      </c>
      <c r="K35" s="109">
        <f>(K20*(1-(D5/O20)))/(D9-D5)</f>
        <v>148.82227995977405</v>
      </c>
      <c r="L35" s="118"/>
      <c r="M35" s="119" t="s">
        <v>149</v>
      </c>
      <c r="N35" s="118">
        <f>(L32)/(H8-D5)</f>
        <v>130.16300877304553</v>
      </c>
      <c r="O35" s="118"/>
      <c r="P35" s="119" t="s">
        <v>150</v>
      </c>
      <c r="Q35" s="118">
        <f>(O32)/(J8-D5)</f>
        <v>17.67025529916133</v>
      </c>
      <c r="R35" s="122"/>
      <c r="S35" s="123" t="s">
        <v>176</v>
      </c>
      <c r="T35" s="124">
        <f>'Fin Stmt'!P44*'VAL without Adjusts'!H20</f>
        <v>171.73725913644998</v>
      </c>
    </row>
    <row r="36" spans="2:20" ht="18" x14ac:dyDescent="0.35">
      <c r="D36" s="31" t="s">
        <v>27</v>
      </c>
      <c r="E36" s="114">
        <f>(J19*(O20-D9))/(D9-D5)</f>
        <v>-21.440294766121678</v>
      </c>
      <c r="F36" s="115"/>
      <c r="G36" s="116" t="s">
        <v>31</v>
      </c>
      <c r="H36" s="115">
        <f>H35/((1+D9)^A31)</f>
        <v>118.26503550573959</v>
      </c>
      <c r="I36" s="109"/>
      <c r="J36" s="117" t="s">
        <v>144</v>
      </c>
      <c r="K36" s="109">
        <f>K35/((1+D9)^A19)</f>
        <v>113.74221265838978</v>
      </c>
      <c r="L36" s="118"/>
      <c r="M36" s="119" t="s">
        <v>151</v>
      </c>
      <c r="N36" s="118">
        <f>N35/((1+H8)^A31)</f>
        <v>97.265372110494539</v>
      </c>
      <c r="O36" s="118"/>
      <c r="P36" s="119" t="s">
        <v>152</v>
      </c>
      <c r="Q36" s="118">
        <f>Q35/((1+J8)^A19)</f>
        <v>7.7238314444085185</v>
      </c>
      <c r="R36" s="122"/>
      <c r="S36" s="123" t="s">
        <v>177</v>
      </c>
      <c r="T36" s="122">
        <f>T35/((1+D9)^A19)</f>
        <v>131.25572229740717</v>
      </c>
    </row>
    <row r="37" spans="2:20" ht="18" x14ac:dyDescent="0.35">
      <c r="D37" s="31" t="s">
        <v>28</v>
      </c>
      <c r="E37" s="114">
        <f>E36/((1+D9)^A31)</f>
        <v>-16.386434661570384</v>
      </c>
      <c r="F37" s="115"/>
      <c r="G37" s="116" t="s">
        <v>32</v>
      </c>
      <c r="H37" s="115">
        <f>H34+H36</f>
        <v>101.95881357984889</v>
      </c>
      <c r="I37" s="109"/>
      <c r="J37" s="117" t="s">
        <v>145</v>
      </c>
      <c r="K37" s="109">
        <f>K36+K34</f>
        <v>97.435990732499079</v>
      </c>
      <c r="L37" s="118"/>
      <c r="M37" s="119" t="s">
        <v>153</v>
      </c>
      <c r="N37" s="118">
        <f>N34+N36</f>
        <v>81.181896233446849</v>
      </c>
      <c r="O37" s="118"/>
      <c r="P37" s="119" t="s">
        <v>154</v>
      </c>
      <c r="Q37" s="118">
        <f>Q34+Q36</f>
        <v>14.064819588984376</v>
      </c>
      <c r="R37" s="122"/>
      <c r="S37" s="123" t="s">
        <v>178</v>
      </c>
      <c r="T37" s="122">
        <f>T34+T36</f>
        <v>114.94950037151648</v>
      </c>
    </row>
    <row r="38" spans="2:20" ht="18" x14ac:dyDescent="0.35">
      <c r="D38" s="31" t="s">
        <v>29</v>
      </c>
      <c r="E38" s="114">
        <f>E35+E37+E34</f>
        <v>91.50236424304282</v>
      </c>
      <c r="F38" s="120"/>
      <c r="G38" s="120"/>
      <c r="H38" s="120"/>
      <c r="I38" s="120"/>
      <c r="J38" s="120"/>
      <c r="K38" s="120"/>
      <c r="L38" s="118"/>
      <c r="M38" s="118"/>
      <c r="N38" s="118"/>
      <c r="O38" s="118"/>
      <c r="P38" s="118"/>
      <c r="Q38" s="118"/>
      <c r="R38" s="120"/>
      <c r="S38" s="120"/>
      <c r="T38" s="120"/>
    </row>
    <row r="39" spans="2:20" x14ac:dyDescent="0.25">
      <c r="E39" s="120"/>
      <c r="F39" s="120"/>
      <c r="G39" s="120"/>
      <c r="H39" s="120"/>
      <c r="I39" s="120"/>
      <c r="J39" s="120"/>
      <c r="K39" s="120"/>
      <c r="L39" s="118"/>
      <c r="M39" s="118"/>
      <c r="N39" s="119" t="s">
        <v>16</v>
      </c>
      <c r="O39" s="118">
        <f>N37+Q37</f>
        <v>95.246715822431227</v>
      </c>
      <c r="P39" s="118"/>
      <c r="Q39" s="118"/>
      <c r="R39" s="120"/>
      <c r="S39" s="120"/>
      <c r="T39" s="120"/>
    </row>
    <row r="42" spans="2:20" x14ac:dyDescent="0.25">
      <c r="H42" s="22"/>
    </row>
    <row r="43" spans="2:20" x14ac:dyDescent="0.25">
      <c r="H43" s="22"/>
    </row>
    <row r="44" spans="2:20" x14ac:dyDescent="0.25">
      <c r="H44" s="22"/>
    </row>
  </sheetData>
  <mergeCells count="21">
    <mergeCell ref="A7:C7"/>
    <mergeCell ref="A8:C8"/>
    <mergeCell ref="N5:O5"/>
    <mergeCell ref="A1:Z1"/>
    <mergeCell ref="A2:Z2"/>
    <mergeCell ref="A5:C5"/>
    <mergeCell ref="F5:H5"/>
    <mergeCell ref="A6:C6"/>
    <mergeCell ref="A9:C9"/>
    <mergeCell ref="A11:C11"/>
    <mergeCell ref="F11:H11"/>
    <mergeCell ref="R12:W12"/>
    <mergeCell ref="X15:X20"/>
    <mergeCell ref="R24:T24"/>
    <mergeCell ref="B22:C22"/>
    <mergeCell ref="B24:E24"/>
    <mergeCell ref="F24:H24"/>
    <mergeCell ref="L23:Q23"/>
    <mergeCell ref="L24:N24"/>
    <mergeCell ref="O24:Q24"/>
    <mergeCell ref="I24:K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opLeftCell="A13" zoomScale="110" zoomScaleNormal="110" workbookViewId="0">
      <selection activeCell="S13" sqref="S13"/>
    </sheetView>
  </sheetViews>
  <sheetFormatPr defaultRowHeight="15" x14ac:dyDescent="0.25"/>
  <cols>
    <col min="5" max="5" width="11.5703125" bestFit="1" customWidth="1"/>
    <col min="6" max="8" width="10.7109375" customWidth="1"/>
    <col min="9" max="9" width="12.7109375" customWidth="1"/>
    <col min="10" max="10" width="10.5703125" bestFit="1" customWidth="1"/>
    <col min="11" max="11" width="10.5703125" customWidth="1"/>
    <col min="14" max="17" width="9.5703125" bestFit="1" customWidth="1"/>
    <col min="18" max="23" width="12.7109375" customWidth="1"/>
    <col min="24" max="24" width="4.7109375" customWidth="1"/>
    <col min="25" max="26" width="10.5703125" customWidth="1"/>
  </cols>
  <sheetData>
    <row r="1" spans="1:28" x14ac:dyDescent="0.25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8" x14ac:dyDescent="0.25">
      <c r="A2" s="153" t="s">
        <v>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8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8" x14ac:dyDescent="0.25">
      <c r="I4" s="32">
        <f>'Fin Stmt'!D6</f>
        <v>2015</v>
      </c>
      <c r="J4" s="32">
        <f>'Fin Stmt'!E6</f>
        <v>2016</v>
      </c>
    </row>
    <row r="5" spans="1:28" x14ac:dyDescent="0.25">
      <c r="A5" s="168" t="s">
        <v>137</v>
      </c>
      <c r="B5" s="160"/>
      <c r="C5" s="160"/>
      <c r="D5" s="78">
        <f>'VAL without Adjusts'!D5</f>
        <v>0.03</v>
      </c>
      <c r="F5" s="160" t="s">
        <v>5</v>
      </c>
      <c r="G5" s="160"/>
      <c r="H5" s="160"/>
      <c r="I5">
        <f>'Fin Stmt'!J15</f>
        <v>26.65</v>
      </c>
      <c r="J5">
        <f>'Fin Stmt'!K15</f>
        <v>31.544</v>
      </c>
      <c r="M5" s="91"/>
      <c r="N5" s="153" t="s">
        <v>155</v>
      </c>
      <c r="O5" s="153"/>
      <c r="P5" s="91"/>
      <c r="Q5" s="90"/>
      <c r="T5" s="91"/>
      <c r="U5" s="91"/>
      <c r="V5" s="91"/>
      <c r="W5" s="91"/>
    </row>
    <row r="6" spans="1:28" x14ac:dyDescent="0.25">
      <c r="A6" s="160" t="str">
        <f>'Fin Stmt'!N38</f>
        <v>Taxes Paid/Taxable Income</v>
      </c>
      <c r="B6" s="160"/>
      <c r="C6" s="160"/>
      <c r="D6" s="78">
        <f>'Fin Stmt'!P38</f>
        <v>0.31999999999999962</v>
      </c>
      <c r="M6" s="90"/>
      <c r="N6" s="5" t="s">
        <v>156</v>
      </c>
      <c r="O6" s="105">
        <f>'VAL without Adjusts'!O6</f>
        <v>0.06</v>
      </c>
      <c r="P6" s="90"/>
      <c r="Q6" s="90"/>
      <c r="T6" s="14"/>
      <c r="U6" s="14"/>
      <c r="V6" s="14"/>
      <c r="W6" s="14"/>
    </row>
    <row r="7" spans="1:28" x14ac:dyDescent="0.25">
      <c r="A7" s="160" t="s">
        <v>135</v>
      </c>
      <c r="B7" s="160"/>
      <c r="C7" s="160"/>
      <c r="D7" s="78">
        <f>'Fin Stmt'!P39</f>
        <v>0.34</v>
      </c>
      <c r="M7" s="91"/>
      <c r="N7" s="92" t="s">
        <v>157</v>
      </c>
      <c r="O7" s="105">
        <v>6.0000000000000001E-3</v>
      </c>
      <c r="P7" s="90"/>
      <c r="Q7" s="90"/>
      <c r="T7" s="90"/>
      <c r="U7" s="90"/>
      <c r="V7" s="90"/>
      <c r="W7" s="90"/>
    </row>
    <row r="8" spans="1:28" ht="18" x14ac:dyDescent="0.35">
      <c r="A8" s="160" t="s">
        <v>136</v>
      </c>
      <c r="B8" s="160"/>
      <c r="C8" s="160"/>
      <c r="D8" s="94">
        <f>'Fin Stmt'!P40</f>
        <v>0.34</v>
      </c>
      <c r="E8" s="4"/>
      <c r="F8" s="4"/>
      <c r="G8" s="142" t="s">
        <v>196</v>
      </c>
      <c r="H8" s="78">
        <f>'Fin Stmt'!J71</f>
        <v>0.06</v>
      </c>
      <c r="I8" s="92" t="s">
        <v>22</v>
      </c>
      <c r="J8" s="78">
        <f>'Fin Stmt'!J72</f>
        <v>0.18</v>
      </c>
      <c r="M8" s="90"/>
      <c r="N8" s="92" t="s">
        <v>190</v>
      </c>
      <c r="O8" s="130">
        <v>0.02</v>
      </c>
      <c r="P8" s="90"/>
      <c r="Q8" s="90"/>
      <c r="T8" s="90"/>
      <c r="U8" s="90"/>
      <c r="V8" s="90"/>
      <c r="W8" s="90"/>
    </row>
    <row r="9" spans="1:28" x14ac:dyDescent="0.25">
      <c r="A9" s="160" t="s">
        <v>13</v>
      </c>
      <c r="B9" s="160"/>
      <c r="C9" s="160"/>
      <c r="D9" s="146">
        <f>'Fin Stmt'!J69</f>
        <v>5.5235167163916743E-2</v>
      </c>
      <c r="G9" s="92"/>
      <c r="H9" s="3"/>
      <c r="M9" s="91"/>
      <c r="N9" s="107" t="s">
        <v>53</v>
      </c>
      <c r="O9" s="106">
        <f>SUM(O6:O8)</f>
        <v>8.6000000000000007E-2</v>
      </c>
      <c r="P9" s="91"/>
      <c r="Q9" s="91"/>
      <c r="T9" s="91"/>
      <c r="U9" s="91"/>
      <c r="V9" s="91"/>
      <c r="W9" s="91"/>
    </row>
    <row r="10" spans="1:28" x14ac:dyDescent="0.25">
      <c r="A10" s="92"/>
      <c r="B10" s="92"/>
      <c r="C10" s="92"/>
      <c r="M10" s="14"/>
      <c r="N10" s="14"/>
      <c r="P10" s="13"/>
      <c r="Q10" s="14"/>
      <c r="R10" s="14"/>
      <c r="S10" s="14"/>
      <c r="T10" s="14"/>
      <c r="U10" s="14"/>
      <c r="V10" s="14"/>
      <c r="W10" s="14"/>
    </row>
    <row r="11" spans="1:28" ht="30" customHeight="1" x14ac:dyDescent="0.25">
      <c r="A11" s="166" t="s">
        <v>160</v>
      </c>
      <c r="B11" s="166"/>
      <c r="C11" s="166"/>
      <c r="D11" s="3">
        <f>C14/J14</f>
        <v>0.28717481849011084</v>
      </c>
      <c r="F11" s="166" t="s">
        <v>161</v>
      </c>
      <c r="G11" s="166"/>
      <c r="H11" s="166"/>
      <c r="I11" s="3">
        <f>D14/J14</f>
        <v>2.3091244281584999</v>
      </c>
      <c r="J11" s="3"/>
    </row>
    <row r="12" spans="1:28" x14ac:dyDescent="0.25">
      <c r="R12" s="163"/>
      <c r="S12" s="163"/>
      <c r="T12" s="163"/>
      <c r="U12" s="163"/>
      <c r="V12" s="163"/>
      <c r="W12" s="163"/>
    </row>
    <row r="13" spans="1:28" ht="30" x14ac:dyDescent="0.25">
      <c r="B13" s="6" t="s">
        <v>0</v>
      </c>
      <c r="C13" s="6" t="s">
        <v>6</v>
      </c>
      <c r="D13" s="6" t="s">
        <v>1</v>
      </c>
      <c r="E13" s="6" t="s">
        <v>12</v>
      </c>
      <c r="F13" s="6" t="s">
        <v>2</v>
      </c>
      <c r="G13" s="6" t="s">
        <v>33</v>
      </c>
      <c r="H13" s="6" t="s">
        <v>21</v>
      </c>
      <c r="I13" s="6" t="s">
        <v>3</v>
      </c>
      <c r="J13" s="6" t="s">
        <v>9</v>
      </c>
      <c r="K13" s="6" t="s">
        <v>8</v>
      </c>
      <c r="L13" s="24" t="s">
        <v>89</v>
      </c>
      <c r="M13" s="7" t="s">
        <v>187</v>
      </c>
      <c r="N13" s="6" t="s">
        <v>10</v>
      </c>
      <c r="O13" s="6" t="s">
        <v>7</v>
      </c>
      <c r="P13" s="6" t="s">
        <v>158</v>
      </c>
      <c r="Q13" s="6"/>
      <c r="X13" s="9"/>
    </row>
    <row r="14" spans="1:28" x14ac:dyDescent="0.25">
      <c r="B14" s="1">
        <f>'Fin Stmt'!E6</f>
        <v>2016</v>
      </c>
      <c r="C14" s="1">
        <v>31.544</v>
      </c>
      <c r="D14" s="10">
        <f>'Fin Stmt'!P10</f>
        <v>253.64000000000001</v>
      </c>
      <c r="E14" s="10">
        <f>'Fin Stmt'!P13</f>
        <v>211.46</v>
      </c>
      <c r="F14" s="10">
        <f>'Fin Stmt'!P14</f>
        <v>29.64</v>
      </c>
      <c r="G14" s="10">
        <f>'Fin Stmt'!P15</f>
        <v>3.89</v>
      </c>
      <c r="H14" s="19">
        <f>D14-E14-F14-G14</f>
        <v>8.6500000000000057</v>
      </c>
      <c r="I14" s="10">
        <f>'Fin Stmt'!P21</f>
        <v>4.3600000000000003</v>
      </c>
      <c r="J14" s="1">
        <f>'Fin Stmt'!K38</f>
        <v>109.8425</v>
      </c>
      <c r="K14" s="1">
        <f>(D14-E14-F14-G14)*(1-$D$7)</f>
        <v>5.7090000000000032</v>
      </c>
      <c r="L14" s="129">
        <f>'Fin Stmt'!E38</f>
        <v>62.912500000000009</v>
      </c>
      <c r="M14" s="10">
        <f>'Fin Stmt'!E17</f>
        <v>46.93</v>
      </c>
      <c r="N14" s="11">
        <f>K14+G14-(L14-'Fin Stmt'!D38)-(M14-'Fin Stmt'!D17+G14)</f>
        <v>-0.80349999999999966</v>
      </c>
      <c r="O14" s="11">
        <f>K14/J14</f>
        <v>5.1974417916562377E-2</v>
      </c>
      <c r="P14" s="14">
        <f>J14*(O14-$D$9)</f>
        <v>-0.35816884920252201</v>
      </c>
      <c r="S14" s="26"/>
      <c r="T14" s="26"/>
      <c r="V14" s="26"/>
      <c r="W14" s="26"/>
      <c r="X14" s="20"/>
      <c r="Y14" s="25"/>
      <c r="Z14" s="25"/>
    </row>
    <row r="15" spans="1:28" x14ac:dyDescent="0.25">
      <c r="A15">
        <v>1</v>
      </c>
      <c r="B15" s="1">
        <f>B14+1</f>
        <v>2017</v>
      </c>
      <c r="C15" s="10">
        <f>J15*$D$11</f>
        <v>34.887664000000001</v>
      </c>
      <c r="D15" s="10">
        <f>D14*(1+$D$22+D23)</f>
        <v>280.52584000000002</v>
      </c>
      <c r="E15" s="10">
        <f t="shared" ref="E15:E20" si="0">(E$22*$D15)*(1-$E$23)</f>
        <v>231.5360124</v>
      </c>
      <c r="F15" s="10">
        <f t="shared" ref="F15:F20" si="1">(F$22*$D15)*(1-$F$23)</f>
        <v>32.454021600000004</v>
      </c>
      <c r="G15" s="10">
        <f t="shared" ref="G15:G20" si="2">G$22*$D15</f>
        <v>4.3023400000000001</v>
      </c>
      <c r="H15" s="19">
        <f t="shared" ref="H15:H20" si="3">D15-E15-F15-G15</f>
        <v>12.233466000000007</v>
      </c>
      <c r="I15" s="10">
        <f t="shared" ref="I15:I20" si="4">(I$22-$I$23)*C14</f>
        <v>5.1606694183864921</v>
      </c>
      <c r="J15" s="10">
        <f t="shared" ref="J15:J20" si="5">D15/$I$11</f>
        <v>121.485805</v>
      </c>
      <c r="K15" s="10">
        <f t="shared" ref="K15:K20" si="6">(D15-E15-F15-G15)*(1-$D$7)</f>
        <v>8.0740875600000042</v>
      </c>
      <c r="L15" s="10">
        <f>L14*(1+$D$22+D23)</f>
        <v>69.581225000000018</v>
      </c>
      <c r="M15" s="10">
        <f>M14*(1+$D$22+D23)</f>
        <v>51.904580000000003</v>
      </c>
      <c r="N15" s="10">
        <f>K15+G15-(L15-L14)-(M15-M14+G15)</f>
        <v>-3.5692174400000098</v>
      </c>
      <c r="O15" s="11">
        <f t="shared" ref="O15:O20" si="7">K15/J15</f>
        <v>6.646116029769901E-2</v>
      </c>
      <c r="P15" s="14">
        <f>J15*(O15-$D$9)</f>
        <v>1.3637988127820113</v>
      </c>
      <c r="Q15" s="3"/>
      <c r="X15" s="167"/>
      <c r="Z15" s="38"/>
      <c r="AB15" s="38"/>
    </row>
    <row r="16" spans="1:28" x14ac:dyDescent="0.25">
      <c r="A16">
        <f>A15+1</f>
        <v>2</v>
      </c>
      <c r="B16" s="1">
        <f t="shared" ref="B16:B20" si="8">B15+1</f>
        <v>2018</v>
      </c>
      <c r="C16" s="10">
        <f t="shared" ref="C16:C20" si="9">J16*$D$11</f>
        <v>38.236879744000007</v>
      </c>
      <c r="D16" s="10">
        <f>D15*(1+$D$22+$D$23/2)</f>
        <v>307.45632064000006</v>
      </c>
      <c r="E16" s="10">
        <f t="shared" si="0"/>
        <v>253.76346959040006</v>
      </c>
      <c r="F16" s="10">
        <f t="shared" si="1"/>
        <v>35.569607673600004</v>
      </c>
      <c r="G16" s="10">
        <f t="shared" si="2"/>
        <v>4.7153646400000007</v>
      </c>
      <c r="H16" s="19">
        <f t="shared" si="3"/>
        <v>13.40787873599999</v>
      </c>
      <c r="I16" s="10">
        <f t="shared" si="4"/>
        <v>5.7077003767354606</v>
      </c>
      <c r="J16" s="10">
        <f t="shared" si="5"/>
        <v>133.14844228000001</v>
      </c>
      <c r="K16" s="10">
        <f t="shared" si="6"/>
        <v>8.8491999657599916</v>
      </c>
      <c r="L16" s="10">
        <f>L15*(1+$D$22+D23/2)</f>
        <v>76.261022600000018</v>
      </c>
      <c r="M16" s="10">
        <f>M15*(1+$D$22+D23/2)</f>
        <v>56.887419680000008</v>
      </c>
      <c r="N16" s="10">
        <f t="shared" ref="N16:N20" si="10">K16+G16-(L16-L15)-(M16-M15+G16)</f>
        <v>-2.813437314240014</v>
      </c>
      <c r="O16" s="11">
        <f t="shared" si="7"/>
        <v>6.6461160297698912E-2</v>
      </c>
      <c r="P16" s="14">
        <f t="shared" ref="P16:P20" si="11">J16*(O16-$D$9)</f>
        <v>1.4947234988090716</v>
      </c>
      <c r="Q16" s="3"/>
      <c r="X16" s="167"/>
      <c r="Z16" s="38"/>
      <c r="AB16" s="38"/>
    </row>
    <row r="17" spans="1:28" x14ac:dyDescent="0.25">
      <c r="A17">
        <f t="shared" ref="A17:A19" si="12">A16+1</f>
        <v>3</v>
      </c>
      <c r="B17" s="1">
        <f t="shared" si="8"/>
        <v>2019</v>
      </c>
      <c r="C17" s="10">
        <f t="shared" si="9"/>
        <v>41.525251401984008</v>
      </c>
      <c r="D17" s="10">
        <f>D16*(1+$D$22)</f>
        <v>333.89756421504006</v>
      </c>
      <c r="E17" s="10">
        <f t="shared" si="0"/>
        <v>275.58712797517444</v>
      </c>
      <c r="F17" s="10">
        <f t="shared" si="1"/>
        <v>38.628593933529601</v>
      </c>
      <c r="G17" s="10">
        <f t="shared" si="2"/>
        <v>5.1208859990400004</v>
      </c>
      <c r="H17" s="19">
        <f t="shared" si="3"/>
        <v>14.560956307296022</v>
      </c>
      <c r="I17" s="10">
        <f t="shared" si="4"/>
        <v>6.2556396129020655</v>
      </c>
      <c r="J17" s="10">
        <f t="shared" si="5"/>
        <v>144.59920831608002</v>
      </c>
      <c r="K17" s="10">
        <f t="shared" si="6"/>
        <v>9.6102311628153743</v>
      </c>
      <c r="L17" s="10">
        <f>L16*(1+$D$22)</f>
        <v>82.819470543600019</v>
      </c>
      <c r="M17" s="10">
        <f>M16*(1+$D$22)</f>
        <v>61.779737772480011</v>
      </c>
      <c r="N17" s="10">
        <f t="shared" si="10"/>
        <v>-1.8405348732646303</v>
      </c>
      <c r="O17" s="11">
        <f t="shared" si="7"/>
        <v>6.6461160297699065E-2</v>
      </c>
      <c r="P17" s="14">
        <f t="shared" si="11"/>
        <v>1.6232697197066739</v>
      </c>
      <c r="Q17" s="3"/>
      <c r="X17" s="167"/>
      <c r="Z17" s="38"/>
      <c r="AB17" s="38"/>
    </row>
    <row r="18" spans="1:28" x14ac:dyDescent="0.25">
      <c r="A18">
        <f t="shared" si="12"/>
        <v>4</v>
      </c>
      <c r="B18" s="1">
        <f t="shared" si="8"/>
        <v>2020</v>
      </c>
      <c r="C18" s="10">
        <f t="shared" si="9"/>
        <v>45.096423022554632</v>
      </c>
      <c r="D18" s="10">
        <f>D17*(1+$D$22)</f>
        <v>362.61275473753352</v>
      </c>
      <c r="E18" s="10">
        <f t="shared" si="0"/>
        <v>299.28762098103942</v>
      </c>
      <c r="F18" s="10">
        <f t="shared" si="1"/>
        <v>41.950653011813152</v>
      </c>
      <c r="G18" s="10">
        <f t="shared" si="2"/>
        <v>5.5612821949574407</v>
      </c>
      <c r="H18" s="19">
        <f t="shared" si="3"/>
        <v>15.813198549723504</v>
      </c>
      <c r="I18" s="10">
        <f t="shared" si="4"/>
        <v>6.7936246196116432</v>
      </c>
      <c r="J18" s="10">
        <f t="shared" si="5"/>
        <v>157.0347402312629</v>
      </c>
      <c r="K18" s="10">
        <f t="shared" si="6"/>
        <v>10.436711042817512</v>
      </c>
      <c r="L18" s="10">
        <f>L17*(1+$D$22-D23)</f>
        <v>88.285555599477618</v>
      </c>
      <c r="M18" s="10">
        <f>M17*(1+$D$22-D23)</f>
        <v>65.857200465463691</v>
      </c>
      <c r="N18" s="10">
        <f t="shared" si="10"/>
        <v>0.89316329395623306</v>
      </c>
      <c r="O18" s="11">
        <f t="shared" si="7"/>
        <v>6.6461160297699162E-2</v>
      </c>
      <c r="P18" s="14">
        <f t="shared" si="11"/>
        <v>1.7628709156014633</v>
      </c>
      <c r="Q18" s="3"/>
      <c r="X18" s="167"/>
      <c r="Z18" s="38"/>
      <c r="AB18" s="38"/>
    </row>
    <row r="19" spans="1:28" x14ac:dyDescent="0.25">
      <c r="A19">
        <f t="shared" si="12"/>
        <v>5</v>
      </c>
      <c r="B19" s="1">
        <f t="shared" si="8"/>
        <v>2021</v>
      </c>
      <c r="C19" s="10">
        <f t="shared" si="9"/>
        <v>48.974715402494333</v>
      </c>
      <c r="D19" s="10">
        <f>D18*(1+$D$22)</f>
        <v>393.79745164496143</v>
      </c>
      <c r="E19" s="10">
        <f t="shared" si="0"/>
        <v>325.02635638540886</v>
      </c>
      <c r="F19" s="10">
        <f t="shared" si="1"/>
        <v>45.558409170829087</v>
      </c>
      <c r="G19" s="10">
        <f t="shared" si="2"/>
        <v>6.0395524637237807</v>
      </c>
      <c r="H19" s="19">
        <f t="shared" si="3"/>
        <v>17.1731336249997</v>
      </c>
      <c r="I19" s="10">
        <f t="shared" si="4"/>
        <v>7.3778763368982441</v>
      </c>
      <c r="J19" s="10">
        <f t="shared" si="5"/>
        <v>170.53972789115153</v>
      </c>
      <c r="K19" s="10">
        <f t="shared" si="6"/>
        <v>11.334268192499801</v>
      </c>
      <c r="L19" s="10">
        <f>L18*(1+$D$22-D23)</f>
        <v>94.112402269043145</v>
      </c>
      <c r="M19" s="10">
        <f>M18*(1+$D$22-D23)</f>
        <v>70.203775696184294</v>
      </c>
      <c r="N19" s="10">
        <f t="shared" si="10"/>
        <v>1.1608462922136731</v>
      </c>
      <c r="O19" s="11">
        <f t="shared" si="7"/>
        <v>6.6461160297699065E-2</v>
      </c>
      <c r="P19" s="14">
        <f t="shared" si="11"/>
        <v>1.9144778143431727</v>
      </c>
      <c r="Q19" s="3"/>
      <c r="X19" s="167"/>
      <c r="Z19" s="38"/>
      <c r="AB19" s="38"/>
    </row>
    <row r="20" spans="1:28" x14ac:dyDescent="0.25">
      <c r="B20" s="1">
        <f t="shared" si="8"/>
        <v>2022</v>
      </c>
      <c r="C20" s="10">
        <f t="shared" si="9"/>
        <v>50.443956864569152</v>
      </c>
      <c r="D20" s="10">
        <f>D19*(1+$D$5)</f>
        <v>405.61137519431026</v>
      </c>
      <c r="E20" s="10">
        <f t="shared" si="0"/>
        <v>334.77714707697112</v>
      </c>
      <c r="F20" s="10">
        <f t="shared" si="1"/>
        <v>46.925161445953954</v>
      </c>
      <c r="G20" s="10">
        <f t="shared" si="2"/>
        <v>6.2207390376354947</v>
      </c>
      <c r="H20" s="19">
        <f t="shared" si="3"/>
        <v>17.688327633749687</v>
      </c>
      <c r="I20" s="10">
        <f t="shared" si="4"/>
        <v>8.0123737018714944</v>
      </c>
      <c r="J20" s="10">
        <f t="shared" si="5"/>
        <v>175.65591972788604</v>
      </c>
      <c r="K20" s="10">
        <f t="shared" si="6"/>
        <v>11.674296238274792</v>
      </c>
      <c r="L20" s="10">
        <f t="shared" ref="L20:M20" si="13">L19*(1+$D$5)</f>
        <v>96.935774337114438</v>
      </c>
      <c r="M20" s="10">
        <f t="shared" si="13"/>
        <v>72.309888967069824</v>
      </c>
      <c r="N20" s="10">
        <f t="shared" si="10"/>
        <v>6.7448108993179705</v>
      </c>
      <c r="O20" s="11">
        <f t="shared" si="7"/>
        <v>6.6461160297699051E-2</v>
      </c>
      <c r="P20" s="14">
        <f t="shared" si="11"/>
        <v>1.971912148773465</v>
      </c>
      <c r="S20" s="27"/>
      <c r="T20" s="27"/>
      <c r="V20" s="27"/>
      <c r="W20" s="27"/>
      <c r="X20" s="167"/>
      <c r="Z20" s="38"/>
      <c r="AB20" s="38"/>
    </row>
    <row r="21" spans="1:28" x14ac:dyDescent="0.25"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"/>
      <c r="Q21" s="14"/>
      <c r="R21" s="28"/>
      <c r="S21" s="28"/>
      <c r="T21" s="28"/>
      <c r="U21" s="28"/>
      <c r="V21" s="28"/>
      <c r="W21" s="28"/>
      <c r="X21" s="21"/>
    </row>
    <row r="22" spans="1:28" x14ac:dyDescent="0.25">
      <c r="B22" s="1"/>
      <c r="C22" s="141" t="s">
        <v>4</v>
      </c>
      <c r="D22" s="125">
        <v>8.5999999999999993E-2</v>
      </c>
      <c r="E22" s="125">
        <f>E14/$D$14</f>
        <v>0.83370130894180727</v>
      </c>
      <c r="F22" s="125">
        <f>F14/$D$14</f>
        <v>0.11685853966251379</v>
      </c>
      <c r="G22" s="125">
        <f>G14/$D$14</f>
        <v>1.5336697681753666E-2</v>
      </c>
      <c r="H22" s="105"/>
      <c r="I22" s="125">
        <f>I14/$I$5</f>
        <v>0.16360225140712947</v>
      </c>
      <c r="L22" s="10"/>
      <c r="M22" s="10"/>
      <c r="N22" s="10"/>
      <c r="O22" s="10"/>
      <c r="P22" s="2"/>
      <c r="Q22" s="14"/>
      <c r="R22" s="28"/>
      <c r="S22" s="28"/>
      <c r="T22" s="28"/>
      <c r="U22" s="28"/>
      <c r="V22" s="28"/>
      <c r="W22" s="28"/>
      <c r="X22" s="21"/>
    </row>
    <row r="23" spans="1:28" ht="17.25" x14ac:dyDescent="0.25">
      <c r="B23" s="1"/>
      <c r="C23" s="141" t="s">
        <v>189</v>
      </c>
      <c r="D23" s="125">
        <v>0.02</v>
      </c>
      <c r="E23" s="125">
        <v>0.01</v>
      </c>
      <c r="F23" s="125">
        <v>0.01</v>
      </c>
      <c r="G23" s="125"/>
      <c r="H23" s="105"/>
      <c r="I23" s="125">
        <v>0</v>
      </c>
      <c r="L23" s="10"/>
      <c r="M23" s="10"/>
      <c r="N23" s="10"/>
      <c r="O23" s="10"/>
      <c r="P23" s="2"/>
      <c r="Q23" s="14"/>
      <c r="R23" s="28"/>
      <c r="S23" s="28"/>
      <c r="T23" s="28"/>
      <c r="U23" s="28"/>
      <c r="V23" s="28"/>
      <c r="W23" s="28"/>
      <c r="X23" s="21"/>
    </row>
    <row r="24" spans="1:28" x14ac:dyDescent="0.25">
      <c r="L24" s="163" t="s">
        <v>34</v>
      </c>
      <c r="M24" s="163"/>
      <c r="N24" s="163"/>
      <c r="O24" s="163"/>
      <c r="P24" s="163"/>
      <c r="Q24" s="163"/>
      <c r="R24" s="93"/>
      <c r="S24" s="93"/>
      <c r="X24" s="90"/>
    </row>
    <row r="25" spans="1:28" ht="18" x14ac:dyDescent="0.35">
      <c r="B25" s="161" t="s">
        <v>159</v>
      </c>
      <c r="C25" s="161"/>
      <c r="D25" s="161"/>
      <c r="E25" s="161"/>
      <c r="F25" s="162" t="s">
        <v>10</v>
      </c>
      <c r="G25" s="162"/>
      <c r="H25" s="162"/>
      <c r="I25" s="165" t="s">
        <v>139</v>
      </c>
      <c r="J25" s="165"/>
      <c r="K25" s="165"/>
      <c r="L25" s="164" t="s">
        <v>14</v>
      </c>
      <c r="M25" s="164"/>
      <c r="N25" s="164"/>
      <c r="O25" s="164" t="s">
        <v>15</v>
      </c>
      <c r="P25" s="164"/>
      <c r="Q25" s="164"/>
      <c r="R25" s="159" t="s">
        <v>186</v>
      </c>
      <c r="S25" s="159"/>
      <c r="T25" s="159"/>
      <c r="X25" s="22"/>
      <c r="Y25" s="29"/>
      <c r="Z25" s="29"/>
      <c r="AA25" s="29"/>
    </row>
    <row r="26" spans="1:28" ht="33" x14ac:dyDescent="0.35">
      <c r="B26" s="17" t="s">
        <v>0</v>
      </c>
      <c r="C26" s="17" t="s">
        <v>20</v>
      </c>
      <c r="D26" s="17" t="s">
        <v>23</v>
      </c>
      <c r="E26" s="17" t="s">
        <v>24</v>
      </c>
      <c r="F26" s="34" t="s">
        <v>10</v>
      </c>
      <c r="G26" s="34" t="s">
        <v>25</v>
      </c>
      <c r="H26" s="34" t="s">
        <v>26</v>
      </c>
      <c r="I26" s="99" t="s">
        <v>10</v>
      </c>
      <c r="J26" s="99" t="s">
        <v>140</v>
      </c>
      <c r="K26" s="99" t="s">
        <v>141</v>
      </c>
      <c r="L26" s="39" t="s">
        <v>10</v>
      </c>
      <c r="M26" s="39" t="s">
        <v>38</v>
      </c>
      <c r="N26" s="39" t="s">
        <v>39</v>
      </c>
      <c r="O26" s="39" t="s">
        <v>35</v>
      </c>
      <c r="P26" s="39" t="s">
        <v>36</v>
      </c>
      <c r="Q26" s="39" t="s">
        <v>37</v>
      </c>
      <c r="R26" s="102" t="s">
        <v>10</v>
      </c>
      <c r="S26" s="102" t="s">
        <v>146</v>
      </c>
      <c r="T26" s="102" t="s">
        <v>147</v>
      </c>
      <c r="X26" s="23"/>
      <c r="Z26" s="27"/>
      <c r="AA26" s="27"/>
    </row>
    <row r="27" spans="1:28" x14ac:dyDescent="0.25">
      <c r="B27" s="15">
        <f t="shared" ref="B27:B33" si="14">B14</f>
        <v>2016</v>
      </c>
      <c r="C27" s="18">
        <f t="shared" ref="C27:C33" si="15">P14</f>
        <v>-0.35816884920252201</v>
      </c>
      <c r="D27" s="37"/>
      <c r="E27" s="90"/>
      <c r="F27" s="35">
        <f t="shared" ref="F27:F33" si="16">N14</f>
        <v>-0.80349999999999966</v>
      </c>
      <c r="G27" s="35"/>
      <c r="H27" s="35"/>
      <c r="I27" s="100">
        <f t="shared" ref="I27:I33" si="17">N14</f>
        <v>-0.80349999999999966</v>
      </c>
      <c r="J27" s="100"/>
      <c r="K27" s="100"/>
      <c r="L27" s="40">
        <f t="shared" ref="L27:L33" si="18">N14</f>
        <v>-0.80349999999999966</v>
      </c>
      <c r="M27" s="110"/>
      <c r="N27" s="110"/>
      <c r="O27" s="40">
        <f t="shared" ref="O27:O33" si="19">I14*$D$8</f>
        <v>1.4824000000000002</v>
      </c>
      <c r="P27" s="110"/>
      <c r="Q27" s="110"/>
      <c r="R27" s="103">
        <f t="shared" ref="R27:R33" si="20">N14</f>
        <v>-0.80349999999999966</v>
      </c>
      <c r="S27" s="121"/>
      <c r="T27" s="121"/>
      <c r="X27" s="8"/>
      <c r="Z27" s="27"/>
      <c r="AA27" s="27"/>
    </row>
    <row r="28" spans="1:28" x14ac:dyDescent="0.25">
      <c r="A28">
        <v>1</v>
      </c>
      <c r="B28" s="15">
        <f t="shared" si="14"/>
        <v>2017</v>
      </c>
      <c r="C28" s="18">
        <f t="shared" si="15"/>
        <v>1.3637988127820113</v>
      </c>
      <c r="D28" s="108">
        <f>C28/((1+$D$9)^A28)</f>
        <v>1.2924122084060183</v>
      </c>
      <c r="E28" s="108">
        <f>D28</f>
        <v>1.2924122084060183</v>
      </c>
      <c r="F28" s="35">
        <f t="shared" si="16"/>
        <v>-3.5692174400000098</v>
      </c>
      <c r="G28" s="35">
        <f>F28/((1+$D$9)^$A28)</f>
        <v>-3.3823905334701379</v>
      </c>
      <c r="H28" s="35">
        <f>G28</f>
        <v>-3.3823905334701379</v>
      </c>
      <c r="I28" s="100">
        <f t="shared" si="17"/>
        <v>-3.5692174400000098</v>
      </c>
      <c r="J28" s="100">
        <f>I28/((1+$D$9)^$A28)</f>
        <v>-3.3823905334701379</v>
      </c>
      <c r="K28" s="100">
        <f>J28</f>
        <v>-3.3823905334701379</v>
      </c>
      <c r="L28" s="40">
        <f t="shared" si="18"/>
        <v>-3.5692174400000098</v>
      </c>
      <c r="M28" s="40">
        <f>N15/((1+$H$8)^A15)</f>
        <v>-3.3671862641509525</v>
      </c>
      <c r="N28" s="40">
        <f>M28</f>
        <v>-3.3671862641509525</v>
      </c>
      <c r="O28" s="40">
        <f t="shared" si="19"/>
        <v>1.7546276022514073</v>
      </c>
      <c r="P28" s="40">
        <f>O28/((1+$J$8)^A15)</f>
        <v>1.4869725442808537</v>
      </c>
      <c r="Q28" s="40">
        <f>P28</f>
        <v>1.4869725442808537</v>
      </c>
      <c r="R28" s="103">
        <f t="shared" si="20"/>
        <v>-3.5692174400000098</v>
      </c>
      <c r="S28" s="103">
        <f>R28/((1+$D$9)^A15)</f>
        <v>-3.3823905334701379</v>
      </c>
      <c r="T28" s="103">
        <f>S28</f>
        <v>-3.3823905334701379</v>
      </c>
      <c r="Z28" s="27"/>
      <c r="AA28" s="27"/>
    </row>
    <row r="29" spans="1:28" x14ac:dyDescent="0.25">
      <c r="A29">
        <v>2</v>
      </c>
      <c r="B29" s="15">
        <f t="shared" si="14"/>
        <v>2018</v>
      </c>
      <c r="C29" s="18">
        <f t="shared" si="15"/>
        <v>1.4947234988090716</v>
      </c>
      <c r="D29" s="108">
        <f>C29/((1+$D$9)^A29)</f>
        <v>1.3423394372080779</v>
      </c>
      <c r="E29" s="108">
        <f>E28+D29</f>
        <v>2.634751645614096</v>
      </c>
      <c r="F29" s="35">
        <f t="shared" si="16"/>
        <v>-2.813437314240014</v>
      </c>
      <c r="G29" s="35">
        <f>F29/((1+$D$9)^A29)</f>
        <v>-2.5266130251020753</v>
      </c>
      <c r="H29" s="35">
        <f>H28+G29</f>
        <v>-5.9090035585722127</v>
      </c>
      <c r="I29" s="100">
        <f t="shared" si="17"/>
        <v>-2.813437314240014</v>
      </c>
      <c r="J29" s="100">
        <f>I29/((1+$D$9)^$A29)</f>
        <v>-2.5266130251020753</v>
      </c>
      <c r="K29" s="100">
        <f>K28+J29</f>
        <v>-5.9090035585722127</v>
      </c>
      <c r="L29" s="40">
        <f t="shared" si="18"/>
        <v>-2.813437314240014</v>
      </c>
      <c r="M29" s="40">
        <f>N16/((1+$H$8)^A16)</f>
        <v>-2.5039491938768368</v>
      </c>
      <c r="N29" s="40">
        <f>N28+M29</f>
        <v>-5.8711354580277888</v>
      </c>
      <c r="O29" s="40">
        <f t="shared" si="19"/>
        <v>1.9406181280900567</v>
      </c>
      <c r="P29" s="40">
        <f>O29/((1+$J$8)^A16)</f>
        <v>1.393721723707309</v>
      </c>
      <c r="Q29" s="40">
        <f>Q28+P29</f>
        <v>2.8806942679881624</v>
      </c>
      <c r="R29" s="103">
        <f t="shared" si="20"/>
        <v>-2.813437314240014</v>
      </c>
      <c r="S29" s="103">
        <f t="shared" ref="S29:S32" si="21">R29/((1+$D$9)^A16)</f>
        <v>-2.5266130251020753</v>
      </c>
      <c r="T29" s="103">
        <f>T28+S29</f>
        <v>-5.9090035585722127</v>
      </c>
      <c r="Z29" s="27"/>
      <c r="AA29" s="27"/>
    </row>
    <row r="30" spans="1:28" x14ac:dyDescent="0.25">
      <c r="A30">
        <v>3</v>
      </c>
      <c r="B30" s="15">
        <f t="shared" si="14"/>
        <v>2019</v>
      </c>
      <c r="C30" s="18">
        <f t="shared" si="15"/>
        <v>1.6232697197066739</v>
      </c>
      <c r="D30" s="108">
        <f>C30/((1+$D$9)^A30)</f>
        <v>1.381474645813757</v>
      </c>
      <c r="E30" s="108">
        <f t="shared" ref="E30:E32" si="22">E29+D30</f>
        <v>4.016226291427853</v>
      </c>
      <c r="F30" s="35">
        <f t="shared" si="16"/>
        <v>-1.8405348732646303</v>
      </c>
      <c r="G30" s="35">
        <f>F30/((1+$D$9)^A30)</f>
        <v>-1.5663769435744681</v>
      </c>
      <c r="H30" s="35">
        <f t="shared" ref="H30:H32" si="23">H29+G30</f>
        <v>-7.475380502146681</v>
      </c>
      <c r="I30" s="100">
        <f t="shared" si="17"/>
        <v>-1.8405348732646303</v>
      </c>
      <c r="J30" s="100">
        <f>I30/((1+$D$9)^$A30)</f>
        <v>-1.5663769435744681</v>
      </c>
      <c r="K30" s="100">
        <f t="shared" ref="K30:K32" si="24">K29+J30</f>
        <v>-7.475380502146681</v>
      </c>
      <c r="L30" s="40">
        <f t="shared" si="18"/>
        <v>-1.8405348732646303</v>
      </c>
      <c r="M30" s="40">
        <f>N17/((1+$H$8)^A17)</f>
        <v>-1.545348570686397</v>
      </c>
      <c r="N30" s="40">
        <f>N29+M30</f>
        <v>-7.4164840287141853</v>
      </c>
      <c r="O30" s="40">
        <f t="shared" si="19"/>
        <v>2.1269174683867025</v>
      </c>
      <c r="P30" s="40">
        <f>O30/((1+$J$8)^A17)</f>
        <v>1.294507634901026</v>
      </c>
      <c r="Q30" s="40">
        <f t="shared" ref="Q30:Q32" si="25">Q29+P30</f>
        <v>4.1752019028891887</v>
      </c>
      <c r="R30" s="103">
        <f t="shared" si="20"/>
        <v>-1.8405348732646303</v>
      </c>
      <c r="S30" s="103">
        <f t="shared" si="21"/>
        <v>-1.5663769435744681</v>
      </c>
      <c r="T30" s="103">
        <f>T29+S30</f>
        <v>-7.475380502146681</v>
      </c>
    </row>
    <row r="31" spans="1:28" x14ac:dyDescent="0.25">
      <c r="A31">
        <v>4</v>
      </c>
      <c r="B31" s="15">
        <f t="shared" si="14"/>
        <v>2020</v>
      </c>
      <c r="C31" s="18">
        <f t="shared" si="15"/>
        <v>1.7628709156014633</v>
      </c>
      <c r="D31" s="108">
        <f>C31/((1+$D$9)^A31)</f>
        <v>1.4217508210856515</v>
      </c>
      <c r="E31" s="108">
        <f t="shared" si="22"/>
        <v>5.4379771125135044</v>
      </c>
      <c r="F31" s="35">
        <f t="shared" si="16"/>
        <v>0.89316329395623306</v>
      </c>
      <c r="G31" s="35">
        <f>F31/((1+$D$9)^A31)</f>
        <v>0.7203338799838247</v>
      </c>
      <c r="H31" s="35">
        <f t="shared" si="23"/>
        <v>-6.7550466221628565</v>
      </c>
      <c r="I31" s="100">
        <f t="shared" si="17"/>
        <v>0.89316329395623306</v>
      </c>
      <c r="J31" s="100">
        <f>I31/((1+$D$9)^$A31)</f>
        <v>0.7203338799838247</v>
      </c>
      <c r="K31" s="100">
        <f t="shared" si="24"/>
        <v>-6.7550466221628565</v>
      </c>
      <c r="L31" s="40">
        <f t="shared" si="18"/>
        <v>0.89316329395623306</v>
      </c>
      <c r="M31" s="40">
        <f>N18/((1+$H$8)^A18)</f>
        <v>0.70746898537952951</v>
      </c>
      <c r="N31" s="40">
        <f>N30+M31</f>
        <v>-6.7090150433346558</v>
      </c>
      <c r="O31" s="40">
        <f t="shared" si="19"/>
        <v>2.3098323706679587</v>
      </c>
      <c r="P31" s="40">
        <f>O31/((1+$J$8)^A18)</f>
        <v>1.1913858402563682</v>
      </c>
      <c r="Q31" s="40">
        <f t="shared" si="25"/>
        <v>5.3665877431455566</v>
      </c>
      <c r="R31" s="103">
        <f t="shared" si="20"/>
        <v>0.89316329395623306</v>
      </c>
      <c r="S31" s="103">
        <f t="shared" si="21"/>
        <v>0.7203338799838247</v>
      </c>
      <c r="T31" s="103">
        <f>T30+S31</f>
        <v>-6.7550466221628565</v>
      </c>
    </row>
    <row r="32" spans="1:28" x14ac:dyDescent="0.25">
      <c r="A32">
        <v>5</v>
      </c>
      <c r="B32" s="15">
        <f t="shared" si="14"/>
        <v>2021</v>
      </c>
      <c r="C32" s="18">
        <f t="shared" si="15"/>
        <v>1.9144778143431727</v>
      </c>
      <c r="D32" s="108">
        <f>C32/((1+$D$9)^A32)</f>
        <v>1.4632012273138744</v>
      </c>
      <c r="E32" s="108">
        <f t="shared" si="22"/>
        <v>6.9011783398273785</v>
      </c>
      <c r="F32" s="35">
        <f t="shared" si="16"/>
        <v>1.1608462922136731</v>
      </c>
      <c r="G32" s="35">
        <f>F32/((1+$D$9)^A32)</f>
        <v>0.88721410442280491</v>
      </c>
      <c r="H32" s="35">
        <f t="shared" si="23"/>
        <v>-5.8678325177400517</v>
      </c>
      <c r="I32" s="100">
        <f t="shared" si="17"/>
        <v>1.1608462922136731</v>
      </c>
      <c r="J32" s="100">
        <f>I32/((1+$D$9)^$A32)</f>
        <v>0.88721410442280491</v>
      </c>
      <c r="K32" s="100">
        <f t="shared" si="24"/>
        <v>-5.8678325177400517</v>
      </c>
      <c r="L32" s="40">
        <f t="shared" si="18"/>
        <v>1.1608462922136731</v>
      </c>
      <c r="M32" s="40">
        <f>N19/((1+$H$8)^A19)</f>
        <v>0.86745187929792611</v>
      </c>
      <c r="N32" s="40">
        <f>N31+M32</f>
        <v>-5.8415631640367298</v>
      </c>
      <c r="O32" s="40">
        <f t="shared" si="19"/>
        <v>2.5084779545454032</v>
      </c>
      <c r="P32" s="40">
        <f>O32/((1+$J$8)^A19)</f>
        <v>1.0964788326427255</v>
      </c>
      <c r="Q32" s="40">
        <f t="shared" si="25"/>
        <v>6.4630665757882824</v>
      </c>
      <c r="R32" s="103">
        <f t="shared" si="20"/>
        <v>1.1608462922136731</v>
      </c>
      <c r="S32" s="103">
        <f t="shared" si="21"/>
        <v>0.88721410442280491</v>
      </c>
      <c r="T32" s="103">
        <f>T31+S32</f>
        <v>-5.8678325177400517</v>
      </c>
    </row>
    <row r="33" spans="2:20" x14ac:dyDescent="0.25">
      <c r="B33" s="15">
        <f t="shared" si="14"/>
        <v>2022</v>
      </c>
      <c r="C33" s="18">
        <f t="shared" si="15"/>
        <v>1.971912148773465</v>
      </c>
      <c r="D33" s="16"/>
      <c r="F33" s="35">
        <f t="shared" si="16"/>
        <v>6.7448108993179705</v>
      </c>
      <c r="G33" s="35"/>
      <c r="H33" s="35"/>
      <c r="I33" s="100">
        <f t="shared" si="17"/>
        <v>6.7448108993179705</v>
      </c>
      <c r="J33" s="100"/>
      <c r="K33" s="100"/>
      <c r="L33" s="40">
        <f t="shared" si="18"/>
        <v>6.7448108993179705</v>
      </c>
      <c r="M33" s="110"/>
      <c r="N33" s="110"/>
      <c r="O33" s="40">
        <f t="shared" si="19"/>
        <v>2.7242070586363085</v>
      </c>
      <c r="P33" s="110"/>
      <c r="Q33" s="110"/>
      <c r="R33" s="103">
        <f t="shared" si="20"/>
        <v>6.7448108993179705</v>
      </c>
      <c r="S33" s="121"/>
      <c r="T33" s="121"/>
    </row>
    <row r="34" spans="2:20" x14ac:dyDescent="0.25">
      <c r="B34" s="15"/>
      <c r="C34" s="15"/>
      <c r="D34" s="15"/>
      <c r="F34" s="36"/>
      <c r="G34" s="36"/>
      <c r="H34" s="36"/>
      <c r="I34" s="101"/>
      <c r="J34" s="101"/>
      <c r="K34" s="101"/>
      <c r="L34" s="30"/>
      <c r="M34" s="30"/>
      <c r="N34" s="30"/>
      <c r="O34" s="30"/>
      <c r="P34" s="30"/>
      <c r="Q34" s="30"/>
      <c r="R34" s="104"/>
      <c r="S34" s="104"/>
      <c r="T34" s="104"/>
    </row>
    <row r="35" spans="2:20" ht="18" x14ac:dyDescent="0.35">
      <c r="B35" s="15"/>
      <c r="D35" s="31" t="s">
        <v>173</v>
      </c>
      <c r="E35" s="114">
        <f>J14</f>
        <v>109.8425</v>
      </c>
      <c r="F35" s="115"/>
      <c r="G35" s="116" t="s">
        <v>25</v>
      </c>
      <c r="H35" s="115">
        <f>H32</f>
        <v>-5.8678325177400517</v>
      </c>
      <c r="I35" s="109"/>
      <c r="J35" s="117" t="s">
        <v>142</v>
      </c>
      <c r="K35" s="109">
        <f>K32</f>
        <v>-5.8678325177400517</v>
      </c>
      <c r="L35" s="118"/>
      <c r="M35" s="119" t="s">
        <v>38</v>
      </c>
      <c r="N35" s="118">
        <f>N32</f>
        <v>-5.8415631640367298</v>
      </c>
      <c r="O35" s="118"/>
      <c r="P35" s="119" t="s">
        <v>148</v>
      </c>
      <c r="Q35" s="118">
        <f>Q32</f>
        <v>6.4630665757882824</v>
      </c>
      <c r="R35" s="122"/>
      <c r="S35" s="123" t="s">
        <v>175</v>
      </c>
      <c r="T35" s="122">
        <f>T32</f>
        <v>-5.8678325177400517</v>
      </c>
    </row>
    <row r="36" spans="2:20" ht="18" x14ac:dyDescent="0.35">
      <c r="D36" s="31" t="s">
        <v>17</v>
      </c>
      <c r="E36" s="114">
        <f>E32</f>
        <v>6.9011783398273785</v>
      </c>
      <c r="F36" s="115"/>
      <c r="G36" s="116" t="s">
        <v>30</v>
      </c>
      <c r="H36" s="115">
        <f>(F33)/(D9-D5)</f>
        <v>267.2782334076328</v>
      </c>
      <c r="I36" s="109"/>
      <c r="J36" s="117" t="s">
        <v>143</v>
      </c>
      <c r="K36" s="109">
        <f>(K20*(1-(D5/O20)))/(D9-D5)</f>
        <v>253.79735370233828</v>
      </c>
      <c r="L36" s="118"/>
      <c r="M36" s="119" t="s">
        <v>149</v>
      </c>
      <c r="N36" s="118">
        <f>(L33)/(H8-D5)</f>
        <v>224.82702997726568</v>
      </c>
      <c r="O36" s="118"/>
      <c r="P36" s="119" t="s">
        <v>150</v>
      </c>
      <c r="Q36" s="118">
        <f>(O33)/(J8-D5)</f>
        <v>18.161380390908725</v>
      </c>
      <c r="R36" s="122"/>
      <c r="S36" s="123" t="s">
        <v>176</v>
      </c>
      <c r="T36" s="124">
        <f>'Fin Stmt'!P44*'VAL with Adjusts'!H20</f>
        <v>225.70898247323993</v>
      </c>
    </row>
    <row r="37" spans="2:20" ht="18" x14ac:dyDescent="0.35">
      <c r="D37" s="31" t="s">
        <v>27</v>
      </c>
      <c r="E37" s="114">
        <f>(J19*(O20-D9))/(D9-D5)</f>
        <v>75.865469878108968</v>
      </c>
      <c r="F37" s="115"/>
      <c r="G37" s="116" t="s">
        <v>31</v>
      </c>
      <c r="H37" s="115">
        <f>H36/((1+D9)^A32)</f>
        <v>204.27598388780837</v>
      </c>
      <c r="I37" s="109"/>
      <c r="J37" s="117" t="s">
        <v>144</v>
      </c>
      <c r="K37" s="109">
        <f>K36/((1+D9)^A19)</f>
        <v>193.97278811177111</v>
      </c>
      <c r="L37" s="118"/>
      <c r="M37" s="119" t="s">
        <v>151</v>
      </c>
      <c r="N37" s="118">
        <f>N36/((1+H8)^A32)</f>
        <v>168.00383563171374</v>
      </c>
      <c r="O37" s="118"/>
      <c r="P37" s="119" t="s">
        <v>152</v>
      </c>
      <c r="Q37" s="118">
        <f>Q36/((1+J8)^A19)</f>
        <v>7.9385067483333351</v>
      </c>
      <c r="R37" s="122"/>
      <c r="S37" s="123" t="s">
        <v>177</v>
      </c>
      <c r="T37" s="122">
        <f>T36/((1+D9)^A19)</f>
        <v>172.50534725257009</v>
      </c>
    </row>
    <row r="38" spans="2:20" ht="18" x14ac:dyDescent="0.35">
      <c r="D38" s="31" t="s">
        <v>28</v>
      </c>
      <c r="E38" s="114">
        <f>E37/((1+D9)^A32)</f>
        <v>57.982624716117378</v>
      </c>
      <c r="F38" s="115"/>
      <c r="G38" s="116" t="s">
        <v>32</v>
      </c>
      <c r="H38" s="115">
        <f>H35+H37</f>
        <v>198.40815137006831</v>
      </c>
      <c r="I38" s="109"/>
      <c r="J38" s="117" t="s">
        <v>145</v>
      </c>
      <c r="K38" s="109">
        <f>K37+K35</f>
        <v>188.10495559403105</v>
      </c>
      <c r="L38" s="118"/>
      <c r="M38" s="119" t="s">
        <v>153</v>
      </c>
      <c r="N38" s="118">
        <f>N35+N37</f>
        <v>162.16227246767701</v>
      </c>
      <c r="O38" s="118"/>
      <c r="P38" s="119" t="s">
        <v>154</v>
      </c>
      <c r="Q38" s="118">
        <f>Q35+Q37</f>
        <v>14.401573324121618</v>
      </c>
      <c r="R38" s="122"/>
      <c r="S38" s="123" t="s">
        <v>178</v>
      </c>
      <c r="T38" s="122">
        <f>T35+T37</f>
        <v>166.63751473483003</v>
      </c>
    </row>
    <row r="39" spans="2:20" ht="18" x14ac:dyDescent="0.35">
      <c r="D39" s="31" t="s">
        <v>29</v>
      </c>
      <c r="E39" s="114">
        <f>E36+E38+E35</f>
        <v>174.72630305594475</v>
      </c>
      <c r="F39" s="120"/>
      <c r="G39" s="120"/>
      <c r="H39" s="120"/>
      <c r="I39" s="120"/>
      <c r="J39" s="120"/>
      <c r="K39" s="120"/>
      <c r="L39" s="118"/>
      <c r="M39" s="118"/>
      <c r="N39" s="118"/>
      <c r="O39" s="118"/>
      <c r="P39" s="118"/>
      <c r="Q39" s="118"/>
      <c r="R39" s="120"/>
      <c r="S39" s="120"/>
      <c r="T39" s="120"/>
    </row>
    <row r="40" spans="2:20" x14ac:dyDescent="0.25">
      <c r="E40" s="120"/>
      <c r="F40" s="120"/>
      <c r="G40" s="120"/>
      <c r="H40" s="120"/>
      <c r="I40" s="120"/>
      <c r="J40" s="120"/>
      <c r="K40" s="120"/>
      <c r="L40" s="118"/>
      <c r="M40" s="118"/>
      <c r="N40" s="119" t="s">
        <v>16</v>
      </c>
      <c r="O40" s="118">
        <f>N38+Q38</f>
        <v>176.56384579179863</v>
      </c>
      <c r="P40" s="118"/>
      <c r="Q40" s="118"/>
      <c r="R40" s="120"/>
      <c r="S40" s="120"/>
      <c r="T40" s="120"/>
    </row>
    <row r="43" spans="2:20" x14ac:dyDescent="0.25">
      <c r="B43">
        <v>1</v>
      </c>
      <c r="C43" t="s">
        <v>179</v>
      </c>
      <c r="H43" s="22"/>
    </row>
    <row r="44" spans="2:20" x14ac:dyDescent="0.25">
      <c r="B44">
        <v>2</v>
      </c>
      <c r="C44" t="s">
        <v>180</v>
      </c>
      <c r="H44" s="22"/>
    </row>
    <row r="45" spans="2:20" x14ac:dyDescent="0.25">
      <c r="H45" s="22"/>
    </row>
  </sheetData>
  <mergeCells count="20">
    <mergeCell ref="R12:W12"/>
    <mergeCell ref="A1:Z1"/>
    <mergeCell ref="A2:Z2"/>
    <mergeCell ref="A5:C5"/>
    <mergeCell ref="F5:H5"/>
    <mergeCell ref="N5:O5"/>
    <mergeCell ref="A6:C6"/>
    <mergeCell ref="A7:C7"/>
    <mergeCell ref="A8:C8"/>
    <mergeCell ref="A9:C9"/>
    <mergeCell ref="A11:C11"/>
    <mergeCell ref="F11:H11"/>
    <mergeCell ref="X15:X20"/>
    <mergeCell ref="L24:Q24"/>
    <mergeCell ref="B25:E25"/>
    <mergeCell ref="F25:H25"/>
    <mergeCell ref="I25:K25"/>
    <mergeCell ref="L25:N25"/>
    <mergeCell ref="O25:Q25"/>
    <mergeCell ref="R25:T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opLeftCell="A10" zoomScaleNormal="100" workbookViewId="0">
      <selection activeCell="P35" sqref="P35"/>
    </sheetView>
  </sheetViews>
  <sheetFormatPr defaultRowHeight="15" x14ac:dyDescent="0.25"/>
  <cols>
    <col min="2" max="4" width="10.7109375" customWidth="1"/>
    <col min="5" max="5" width="11.5703125" bestFit="1" customWidth="1"/>
    <col min="6" max="8" width="10.7109375" customWidth="1"/>
    <col min="9" max="9" width="12.7109375" customWidth="1"/>
    <col min="10" max="10" width="10.5703125" bestFit="1" customWidth="1"/>
    <col min="11" max="11" width="10.5703125" customWidth="1"/>
    <col min="14" max="17" width="9.5703125" bestFit="1" customWidth="1"/>
    <col min="18" max="23" width="12.7109375" customWidth="1"/>
    <col min="24" max="24" width="4.7109375" customWidth="1"/>
    <col min="25" max="26" width="10.5703125" customWidth="1"/>
  </cols>
  <sheetData>
    <row r="1" spans="1:28" x14ac:dyDescent="0.25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8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8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8" x14ac:dyDescent="0.25">
      <c r="I4" s="32">
        <f>'Fin Stmt'!D6</f>
        <v>2015</v>
      </c>
      <c r="J4" s="32">
        <f>'Fin Stmt'!E6</f>
        <v>2016</v>
      </c>
    </row>
    <row r="5" spans="1:28" x14ac:dyDescent="0.25">
      <c r="A5" s="168" t="s">
        <v>137</v>
      </c>
      <c r="B5" s="160"/>
      <c r="C5" s="160"/>
      <c r="D5" s="127">
        <v>0.03</v>
      </c>
      <c r="F5" s="160" t="s">
        <v>5</v>
      </c>
      <c r="G5" s="160"/>
      <c r="H5" s="160"/>
      <c r="I5">
        <f>'Fin Stmt'!J15</f>
        <v>26.65</v>
      </c>
      <c r="J5">
        <f>'Fin Stmt'!K15</f>
        <v>31.544</v>
      </c>
      <c r="M5" s="134"/>
      <c r="N5" s="153" t="s">
        <v>155</v>
      </c>
      <c r="O5" s="153"/>
      <c r="P5" s="134"/>
      <c r="Q5" s="90"/>
      <c r="T5" s="134"/>
      <c r="U5" s="134"/>
      <c r="V5" s="134"/>
      <c r="W5" s="134"/>
    </row>
    <row r="6" spans="1:28" x14ac:dyDescent="0.25">
      <c r="A6" s="160" t="str">
        <f>'Fin Stmt'!N38</f>
        <v>Taxes Paid/Taxable Income</v>
      </c>
      <c r="B6" s="160"/>
      <c r="C6" s="160"/>
      <c r="D6" s="94">
        <f>'Fin Stmt'!P38</f>
        <v>0.31999999999999962</v>
      </c>
      <c r="M6" s="90"/>
      <c r="N6" s="5" t="s">
        <v>156</v>
      </c>
      <c r="O6" s="128">
        <v>0.06</v>
      </c>
      <c r="P6" s="90"/>
      <c r="Q6" s="90"/>
      <c r="T6" s="14"/>
      <c r="U6" s="14"/>
      <c r="V6" s="14"/>
      <c r="W6" s="14"/>
    </row>
    <row r="7" spans="1:28" x14ac:dyDescent="0.25">
      <c r="A7" s="160" t="s">
        <v>135</v>
      </c>
      <c r="B7" s="160"/>
      <c r="C7" s="160"/>
      <c r="D7" s="78">
        <f>'Fin Stmt'!P39</f>
        <v>0.34</v>
      </c>
      <c r="M7" s="134"/>
      <c r="N7" s="135" t="s">
        <v>157</v>
      </c>
      <c r="O7" s="128">
        <v>6.0000000000000001E-3</v>
      </c>
      <c r="P7" s="90"/>
      <c r="Q7" s="90"/>
      <c r="T7" s="90"/>
      <c r="U7" s="90"/>
      <c r="V7" s="90"/>
      <c r="W7" s="90"/>
    </row>
    <row r="8" spans="1:28" ht="18" x14ac:dyDescent="0.35">
      <c r="A8" s="160" t="s">
        <v>136</v>
      </c>
      <c r="B8" s="160"/>
      <c r="C8" s="160"/>
      <c r="D8" s="94">
        <f>'Fin Stmt'!P40</f>
        <v>0.34</v>
      </c>
      <c r="E8" s="4"/>
      <c r="F8" s="4"/>
      <c r="G8" s="142" t="s">
        <v>196</v>
      </c>
      <c r="H8" s="78">
        <f>'Fin Stmt'!J71</f>
        <v>0.06</v>
      </c>
      <c r="I8" s="135" t="s">
        <v>22</v>
      </c>
      <c r="J8" s="78">
        <f>'Fin Stmt'!J72</f>
        <v>0.18</v>
      </c>
      <c r="M8" s="90"/>
      <c r="N8" s="135" t="s">
        <v>190</v>
      </c>
      <c r="O8" s="131">
        <v>0.02</v>
      </c>
      <c r="P8" s="90"/>
      <c r="Q8" s="90"/>
      <c r="T8" s="90"/>
      <c r="U8" s="90"/>
      <c r="V8" s="90"/>
      <c r="W8" s="90"/>
    </row>
    <row r="9" spans="1:28" x14ac:dyDescent="0.25">
      <c r="A9" s="160" t="s">
        <v>13</v>
      </c>
      <c r="B9" s="160"/>
      <c r="C9" s="160"/>
      <c r="D9" s="146">
        <f>'Fin Stmt'!J69</f>
        <v>5.5235167163916743E-2</v>
      </c>
      <c r="G9" s="135"/>
      <c r="H9" s="3"/>
      <c r="M9" s="134"/>
      <c r="N9" s="107" t="s">
        <v>53</v>
      </c>
      <c r="O9" s="106">
        <f>SUM(O6:O8)</f>
        <v>8.6000000000000007E-2</v>
      </c>
      <c r="P9" s="134"/>
      <c r="Q9" s="134"/>
      <c r="T9" s="134"/>
      <c r="U9" s="134"/>
      <c r="V9" s="134"/>
      <c r="W9" s="134"/>
    </row>
    <row r="10" spans="1:28" x14ac:dyDescent="0.25">
      <c r="A10" s="135"/>
      <c r="B10" s="135"/>
      <c r="C10" s="135"/>
      <c r="M10" s="14"/>
      <c r="N10" s="14"/>
      <c r="P10" s="13"/>
      <c r="Q10" s="14"/>
      <c r="R10" s="14"/>
      <c r="S10" s="14"/>
      <c r="T10" s="14"/>
      <c r="U10" s="14"/>
      <c r="V10" s="14"/>
      <c r="W10" s="14"/>
    </row>
    <row r="11" spans="1:28" ht="30" customHeight="1" x14ac:dyDescent="0.25">
      <c r="A11" s="166" t="s">
        <v>160</v>
      </c>
      <c r="B11" s="166"/>
      <c r="C11" s="166"/>
      <c r="D11" s="3">
        <f>C13/I13</f>
        <v>0.28717481849011084</v>
      </c>
      <c r="F11" s="166" t="s">
        <v>161</v>
      </c>
      <c r="G11" s="166"/>
      <c r="H11" s="166"/>
      <c r="I11" s="3">
        <f>D13/I13</f>
        <v>2.3091244281584999</v>
      </c>
      <c r="J11" s="3"/>
    </row>
    <row r="12" spans="1:28" ht="60" x14ac:dyDescent="0.25">
      <c r="B12" s="6" t="s">
        <v>0</v>
      </c>
      <c r="C12" s="6" t="s">
        <v>6</v>
      </c>
      <c r="D12" s="6" t="s">
        <v>1</v>
      </c>
      <c r="E12" s="6" t="s">
        <v>188</v>
      </c>
      <c r="F12" s="6" t="s">
        <v>33</v>
      </c>
      <c r="G12" s="6" t="s">
        <v>21</v>
      </c>
      <c r="H12" s="6" t="s">
        <v>3</v>
      </c>
      <c r="I12" s="6" t="s">
        <v>9</v>
      </c>
      <c r="J12" s="6" t="s">
        <v>8</v>
      </c>
      <c r="K12" s="24" t="s">
        <v>89</v>
      </c>
      <c r="L12" s="7" t="s">
        <v>187</v>
      </c>
      <c r="M12" s="6" t="s">
        <v>10</v>
      </c>
      <c r="N12" s="6" t="s">
        <v>7</v>
      </c>
      <c r="O12" s="6" t="s">
        <v>158</v>
      </c>
      <c r="Q12" s="6"/>
      <c r="X12" s="9"/>
    </row>
    <row r="13" spans="1:28" x14ac:dyDescent="0.25">
      <c r="B13" s="1">
        <f>'Fin Stmt'!E6</f>
        <v>2016</v>
      </c>
      <c r="C13" s="1">
        <f>J5</f>
        <v>31.544</v>
      </c>
      <c r="D13" s="10">
        <f>'Fin Stmt'!P10</f>
        <v>253.64000000000001</v>
      </c>
      <c r="E13" s="10">
        <f>'Fin Stmt'!P13+'Fin Stmt'!P14</f>
        <v>241.10000000000002</v>
      </c>
      <c r="F13" s="10">
        <f>'Fin Stmt'!P15</f>
        <v>3.89</v>
      </c>
      <c r="G13" s="19">
        <f t="shared" ref="G13:G19" si="0">D13-E13-F13</f>
        <v>8.6499999999999915</v>
      </c>
      <c r="H13" s="10">
        <f>'Fin Stmt'!P21</f>
        <v>4.3600000000000003</v>
      </c>
      <c r="I13" s="1">
        <f>'Fin Stmt'!K38</f>
        <v>109.8425</v>
      </c>
      <c r="J13" s="1">
        <f>G13*(1-$D$7)</f>
        <v>5.7089999999999934</v>
      </c>
      <c r="K13" s="139">
        <f>'Fin Stmt'!E38</f>
        <v>62.912500000000009</v>
      </c>
      <c r="L13" s="10">
        <f>'Fin Stmt'!E17</f>
        <v>46.93</v>
      </c>
      <c r="M13" s="10">
        <f>J13+F13-(K13-'Fin Stmt'!D38)-('Fin Stmt'!E17-'Fin Stmt'!D17+'Fin Stmt'!P15)</f>
        <v>-0.80350000000001032</v>
      </c>
      <c r="N13" s="11">
        <f t="shared" ref="N13:N19" si="1">J13/I13</f>
        <v>5.1974417916562293E-2</v>
      </c>
      <c r="O13" s="14">
        <f t="shared" ref="O13:O19" si="2">I13*(N13-$D$9)</f>
        <v>-0.35816884920253117</v>
      </c>
      <c r="S13" s="26"/>
      <c r="T13" s="26"/>
      <c r="V13" s="26"/>
      <c r="W13" s="26"/>
      <c r="X13" s="20"/>
      <c r="Y13" s="25"/>
      <c r="Z13" s="25"/>
    </row>
    <row r="14" spans="1:28" x14ac:dyDescent="0.25">
      <c r="A14">
        <v>1</v>
      </c>
      <c r="B14" s="1">
        <f>B13+1</f>
        <v>2017</v>
      </c>
      <c r="C14" s="10">
        <f t="shared" ref="C14:C19" si="3">I14*$D$11</f>
        <v>34.256784000000003</v>
      </c>
      <c r="D14" s="10">
        <f>D13*(1+$D$21)</f>
        <v>275.45304000000004</v>
      </c>
      <c r="E14" s="10">
        <f t="shared" ref="E14:F19" si="4">E$21*$D14</f>
        <v>261.83460000000002</v>
      </c>
      <c r="F14" s="10">
        <f t="shared" si="4"/>
        <v>4.2245400000000002</v>
      </c>
      <c r="G14" s="19">
        <f t="shared" si="0"/>
        <v>9.3939000000000199</v>
      </c>
      <c r="H14" s="10">
        <f t="shared" ref="H14:H19" si="5">H$21*C13</f>
        <v>5.1606694183864921</v>
      </c>
      <c r="I14" s="10">
        <f t="shared" ref="I14:I19" si="6">D14/$I$11</f>
        <v>119.288955</v>
      </c>
      <c r="J14" s="10">
        <f t="shared" ref="J14:J19" si="7">G14*(1-$D$7)</f>
        <v>6.1999740000000125</v>
      </c>
      <c r="K14" s="139">
        <f t="shared" ref="K14:L18" si="8">K13*(1+$D$21)</f>
        <v>68.322975000000014</v>
      </c>
      <c r="L14" s="10">
        <f t="shared" si="8"/>
        <v>50.965980000000002</v>
      </c>
      <c r="M14" s="10">
        <f t="shared" ref="M14:M19" si="9">J14+F14-(K14-K13)-(L14-L13+F14)</f>
        <v>-3.2464809999999957</v>
      </c>
      <c r="N14" s="11">
        <f t="shared" si="1"/>
        <v>5.1974417916562453E-2</v>
      </c>
      <c r="O14" s="14">
        <f t="shared" si="2"/>
        <v>-0.3889713702339298</v>
      </c>
      <c r="Q14" s="3"/>
      <c r="X14" s="167"/>
      <c r="Z14" s="38"/>
      <c r="AB14" s="38"/>
    </row>
    <row r="15" spans="1:28" x14ac:dyDescent="0.25">
      <c r="A15">
        <f>A14+1</f>
        <v>2</v>
      </c>
      <c r="B15" s="1">
        <f t="shared" ref="B15:B19" si="10">B14+1</f>
        <v>2018</v>
      </c>
      <c r="C15" s="10">
        <f t="shared" si="3"/>
        <v>37.202867423999997</v>
      </c>
      <c r="D15" s="10">
        <f>D14*(1+$D$21)</f>
        <v>299.14200144000006</v>
      </c>
      <c r="E15" s="10">
        <f t="shared" si="4"/>
        <v>284.35237560000007</v>
      </c>
      <c r="F15" s="10">
        <f t="shared" si="4"/>
        <v>4.5878504400000004</v>
      </c>
      <c r="G15" s="19">
        <f t="shared" si="0"/>
        <v>10.201775399999985</v>
      </c>
      <c r="H15" s="10">
        <f t="shared" si="5"/>
        <v>5.6044869883677313</v>
      </c>
      <c r="I15" s="10">
        <f t="shared" si="6"/>
        <v>129.54780513</v>
      </c>
      <c r="J15" s="10">
        <f t="shared" si="7"/>
        <v>6.7331717639999891</v>
      </c>
      <c r="K15" s="139">
        <f t="shared" si="8"/>
        <v>74.198750850000025</v>
      </c>
      <c r="L15" s="10">
        <f t="shared" si="8"/>
        <v>55.349054280000004</v>
      </c>
      <c r="M15" s="10">
        <f t="shared" si="9"/>
        <v>-3.5256783660000242</v>
      </c>
      <c r="N15" s="11">
        <f t="shared" si="1"/>
        <v>5.1974417916562266E-2</v>
      </c>
      <c r="O15" s="14">
        <f t="shared" si="2"/>
        <v>-0.42242290807407201</v>
      </c>
      <c r="Q15" s="3"/>
      <c r="X15" s="167"/>
      <c r="Z15" s="38"/>
      <c r="AB15" s="38"/>
    </row>
    <row r="16" spans="1:28" x14ac:dyDescent="0.25">
      <c r="A16">
        <f t="shared" ref="A16:A18" si="11">A15+1</f>
        <v>3</v>
      </c>
      <c r="B16" s="1">
        <f t="shared" si="10"/>
        <v>2019</v>
      </c>
      <c r="C16" s="10">
        <f t="shared" si="3"/>
        <v>40.402314022464004</v>
      </c>
      <c r="D16" s="10">
        <f>D15*(1+$D$21)</f>
        <v>324.86821356384007</v>
      </c>
      <c r="E16" s="10">
        <f t="shared" si="4"/>
        <v>308.80667990160009</v>
      </c>
      <c r="F16" s="10">
        <f t="shared" si="4"/>
        <v>4.9824055778400007</v>
      </c>
      <c r="G16" s="19">
        <f t="shared" si="0"/>
        <v>11.079128084399979</v>
      </c>
      <c r="H16" s="10">
        <f t="shared" si="5"/>
        <v>6.0864728693673547</v>
      </c>
      <c r="I16" s="10">
        <f t="shared" si="6"/>
        <v>140.68891637118003</v>
      </c>
      <c r="J16" s="10">
        <f t="shared" si="7"/>
        <v>7.3122245357039857</v>
      </c>
      <c r="K16" s="139">
        <f t="shared" si="8"/>
        <v>80.57984342310003</v>
      </c>
      <c r="L16" s="10">
        <f t="shared" si="8"/>
        <v>60.109072948080012</v>
      </c>
      <c r="M16" s="10">
        <f t="shared" si="9"/>
        <v>-3.8288867054760285</v>
      </c>
      <c r="N16" s="11">
        <f t="shared" si="1"/>
        <v>5.1974417916562238E-2</v>
      </c>
      <c r="O16" s="14">
        <f t="shared" si="2"/>
        <v>-0.45875127816844619</v>
      </c>
      <c r="Q16" s="3"/>
      <c r="X16" s="167"/>
      <c r="Z16" s="38"/>
      <c r="AB16" s="38"/>
    </row>
    <row r="17" spans="1:28" x14ac:dyDescent="0.25">
      <c r="A17">
        <f t="shared" si="11"/>
        <v>4</v>
      </c>
      <c r="B17" s="1">
        <f t="shared" si="10"/>
        <v>2020</v>
      </c>
      <c r="C17" s="10">
        <f t="shared" si="3"/>
        <v>43.876913028395911</v>
      </c>
      <c r="D17" s="10">
        <f>D16*(1+$D$21)</f>
        <v>352.80687993033035</v>
      </c>
      <c r="E17" s="10">
        <f t="shared" si="4"/>
        <v>335.36405437313772</v>
      </c>
      <c r="F17" s="10">
        <f t="shared" si="4"/>
        <v>5.4108924575342412</v>
      </c>
      <c r="G17" s="19">
        <f t="shared" si="0"/>
        <v>12.031933099658392</v>
      </c>
      <c r="H17" s="10">
        <f t="shared" si="5"/>
        <v>6.6099095361329487</v>
      </c>
      <c r="I17" s="10">
        <f t="shared" si="6"/>
        <v>152.7881631791015</v>
      </c>
      <c r="J17" s="10">
        <f t="shared" si="7"/>
        <v>7.9410758457745381</v>
      </c>
      <c r="K17" s="139">
        <f t="shared" si="8"/>
        <v>87.509709957486635</v>
      </c>
      <c r="L17" s="10">
        <f t="shared" si="8"/>
        <v>65.278453221614896</v>
      </c>
      <c r="M17" s="10">
        <f t="shared" si="9"/>
        <v>-4.1581709621469507</v>
      </c>
      <c r="N17" s="11">
        <f t="shared" si="1"/>
        <v>5.1974417916562307E-2</v>
      </c>
      <c r="O17" s="14">
        <f t="shared" si="2"/>
        <v>-0.49820388809092198</v>
      </c>
      <c r="Q17" s="3"/>
      <c r="X17" s="167"/>
      <c r="Z17" s="38"/>
      <c r="AB17" s="38"/>
    </row>
    <row r="18" spans="1:28" x14ac:dyDescent="0.25">
      <c r="A18">
        <f t="shared" si="11"/>
        <v>5</v>
      </c>
      <c r="B18" s="1">
        <f t="shared" si="10"/>
        <v>2021</v>
      </c>
      <c r="C18" s="10">
        <f t="shared" si="3"/>
        <v>47.650327548837964</v>
      </c>
      <c r="D18" s="10">
        <f>D17*(1+$D$21)</f>
        <v>383.14827160433879</v>
      </c>
      <c r="E18" s="10">
        <f t="shared" si="4"/>
        <v>364.20536304922757</v>
      </c>
      <c r="F18" s="10">
        <f t="shared" si="4"/>
        <v>5.8762292088821866</v>
      </c>
      <c r="G18" s="19">
        <f t="shared" si="0"/>
        <v>13.06667934622903</v>
      </c>
      <c r="H18" s="10">
        <f t="shared" si="5"/>
        <v>7.1783617562403821</v>
      </c>
      <c r="I18" s="10">
        <f t="shared" si="6"/>
        <v>165.92794521250426</v>
      </c>
      <c r="J18" s="10">
        <f t="shared" si="7"/>
        <v>8.6240083685111593</v>
      </c>
      <c r="K18" s="139">
        <f t="shared" si="8"/>
        <v>95.035545013830486</v>
      </c>
      <c r="L18" s="10">
        <f t="shared" si="8"/>
        <v>70.892400198673784</v>
      </c>
      <c r="M18" s="10">
        <f t="shared" si="9"/>
        <v>-4.5157736648915794</v>
      </c>
      <c r="N18" s="11">
        <f t="shared" si="1"/>
        <v>5.1974417916562363E-2</v>
      </c>
      <c r="O18" s="14">
        <f t="shared" si="2"/>
        <v>-0.54104942246673216</v>
      </c>
      <c r="Q18" s="3"/>
      <c r="X18" s="167"/>
      <c r="Z18" s="38"/>
      <c r="AB18" s="38"/>
    </row>
    <row r="19" spans="1:28" x14ac:dyDescent="0.25">
      <c r="B19" s="1">
        <f t="shared" si="10"/>
        <v>2022</v>
      </c>
      <c r="C19" s="10">
        <f t="shared" si="3"/>
        <v>49.0798373753031</v>
      </c>
      <c r="D19" s="10">
        <f>D18*(1+$D$5)</f>
        <v>394.64271975246896</v>
      </c>
      <c r="E19" s="10">
        <f t="shared" si="4"/>
        <v>375.13152394070443</v>
      </c>
      <c r="F19" s="10">
        <f t="shared" si="4"/>
        <v>6.0525160851486524</v>
      </c>
      <c r="G19" s="19">
        <f t="shared" si="0"/>
        <v>13.458679726615884</v>
      </c>
      <c r="H19" s="10">
        <f t="shared" si="5"/>
        <v>7.7957008672770565</v>
      </c>
      <c r="I19" s="10">
        <f t="shared" si="6"/>
        <v>170.90578356887937</v>
      </c>
      <c r="J19" s="10">
        <f t="shared" si="7"/>
        <v>8.8827286195664819</v>
      </c>
      <c r="K19" s="139">
        <f>K18*(1+$D$5)</f>
        <v>97.886611364245397</v>
      </c>
      <c r="L19" s="10">
        <f>L18*(1+$D$5)</f>
        <v>73.019172204634003</v>
      </c>
      <c r="M19" s="10">
        <f t="shared" si="9"/>
        <v>3.9048902631913514</v>
      </c>
      <c r="N19" s="11">
        <f t="shared" si="1"/>
        <v>5.1974417916562293E-2</v>
      </c>
      <c r="O19" s="14">
        <f t="shared" si="2"/>
        <v>-0.55728090514074591</v>
      </c>
      <c r="S19" s="27"/>
      <c r="T19" s="27"/>
      <c r="V19" s="27"/>
      <c r="W19" s="27"/>
      <c r="X19" s="167"/>
      <c r="Z19" s="38"/>
      <c r="AB19" s="38"/>
    </row>
    <row r="20" spans="1:28" x14ac:dyDescent="0.25">
      <c r="B20" s="1"/>
      <c r="C20" s="10"/>
      <c r="D20" s="10"/>
      <c r="E20" s="10"/>
      <c r="F20" s="10"/>
      <c r="G20" s="19"/>
      <c r="H20" s="10"/>
      <c r="I20" s="10"/>
      <c r="J20" s="10"/>
      <c r="K20" s="10"/>
      <c r="L20" s="10"/>
      <c r="M20" s="10"/>
      <c r="N20" s="11"/>
      <c r="O20" s="14"/>
      <c r="S20" s="27"/>
      <c r="T20" s="27"/>
      <c r="V20" s="27"/>
      <c r="W20" s="27"/>
      <c r="X20" s="138"/>
      <c r="Z20" s="38"/>
      <c r="AB20" s="38"/>
    </row>
    <row r="21" spans="1:28" x14ac:dyDescent="0.25">
      <c r="B21" s="160" t="s">
        <v>4</v>
      </c>
      <c r="C21" s="160"/>
      <c r="D21" s="125">
        <f>O9</f>
        <v>8.6000000000000007E-2</v>
      </c>
      <c r="E21" s="125">
        <f>E13/$D$13</f>
        <v>0.95055984860432108</v>
      </c>
      <c r="F21" s="125">
        <f>F13/$D$13</f>
        <v>1.5336697681753666E-2</v>
      </c>
      <c r="G21" s="105"/>
      <c r="H21" s="125">
        <f>H13/$I$5</f>
        <v>0.16360225140712947</v>
      </c>
      <c r="I21" s="10"/>
      <c r="J21" s="10"/>
      <c r="K21" s="10"/>
      <c r="L21" s="10"/>
      <c r="M21" s="10"/>
      <c r="N21" s="10"/>
      <c r="O21" s="10"/>
      <c r="P21" s="2"/>
      <c r="Q21" s="14"/>
      <c r="R21" s="28"/>
      <c r="S21" s="28"/>
      <c r="T21" s="28"/>
      <c r="U21" s="28"/>
      <c r="V21" s="28"/>
      <c r="W21" s="28"/>
      <c r="X21" s="21"/>
    </row>
    <row r="22" spans="1:28" x14ac:dyDescent="0.25">
      <c r="K22" s="163" t="s">
        <v>34</v>
      </c>
      <c r="L22" s="163"/>
      <c r="M22" s="163"/>
      <c r="N22" s="163"/>
      <c r="O22" s="163"/>
      <c r="P22" s="163"/>
      <c r="Q22" s="140"/>
      <c r="R22" s="136"/>
      <c r="S22" s="136"/>
      <c r="X22" s="90"/>
    </row>
    <row r="23" spans="1:28" ht="18" x14ac:dyDescent="0.35">
      <c r="B23" s="159" t="s">
        <v>186</v>
      </c>
      <c r="C23" s="159"/>
      <c r="D23" s="159"/>
      <c r="E23" s="162" t="s">
        <v>10</v>
      </c>
      <c r="F23" s="162"/>
      <c r="G23" s="162"/>
      <c r="H23" s="165" t="s">
        <v>139</v>
      </c>
      <c r="I23" s="165"/>
      <c r="J23" s="165"/>
      <c r="K23" s="164" t="s">
        <v>14</v>
      </c>
      <c r="L23" s="164"/>
      <c r="M23" s="164"/>
      <c r="N23" s="164" t="s">
        <v>15</v>
      </c>
      <c r="O23" s="164"/>
      <c r="P23" s="164"/>
      <c r="X23" s="22"/>
      <c r="Y23" s="137"/>
      <c r="Z23" s="137"/>
      <c r="AA23" s="137"/>
    </row>
    <row r="24" spans="1:28" ht="33" x14ac:dyDescent="0.35">
      <c r="B24" s="102" t="s">
        <v>10</v>
      </c>
      <c r="C24" s="102" t="s">
        <v>146</v>
      </c>
      <c r="D24" s="102" t="s">
        <v>147</v>
      </c>
      <c r="E24" s="34" t="s">
        <v>10</v>
      </c>
      <c r="F24" s="34" t="s">
        <v>25</v>
      </c>
      <c r="G24" s="34" t="s">
        <v>26</v>
      </c>
      <c r="H24" s="99" t="s">
        <v>10</v>
      </c>
      <c r="I24" s="99" t="s">
        <v>140</v>
      </c>
      <c r="J24" s="99" t="s">
        <v>141</v>
      </c>
      <c r="K24" s="39" t="s">
        <v>10</v>
      </c>
      <c r="L24" s="39" t="s">
        <v>38</v>
      </c>
      <c r="M24" s="39" t="s">
        <v>39</v>
      </c>
      <c r="N24" s="39" t="s">
        <v>35</v>
      </c>
      <c r="O24" s="39" t="s">
        <v>36</v>
      </c>
      <c r="P24" s="39" t="s">
        <v>37</v>
      </c>
      <c r="X24" s="23"/>
      <c r="Z24" s="27"/>
      <c r="AA24" s="27"/>
    </row>
    <row r="25" spans="1:28" x14ac:dyDescent="0.25">
      <c r="B25" s="103">
        <f t="shared" ref="B25:B31" si="12">M13</f>
        <v>-0.80350000000001032</v>
      </c>
      <c r="C25" s="121"/>
      <c r="D25" s="121"/>
      <c r="E25" s="35">
        <f t="shared" ref="E25:E31" si="13">M13</f>
        <v>-0.80350000000001032</v>
      </c>
      <c r="F25" s="35"/>
      <c r="G25" s="35"/>
      <c r="H25" s="100">
        <f t="shared" ref="H25:H31" si="14">M13</f>
        <v>-0.80350000000001032</v>
      </c>
      <c r="I25" s="100"/>
      <c r="J25" s="100"/>
      <c r="K25" s="40">
        <f t="shared" ref="K25:K31" si="15">M13</f>
        <v>-0.80350000000001032</v>
      </c>
      <c r="L25" s="110"/>
      <c r="M25" s="110"/>
      <c r="N25" s="40">
        <f t="shared" ref="N25:N31" si="16">H13*$D$8</f>
        <v>1.4824000000000002</v>
      </c>
      <c r="O25" s="110"/>
      <c r="P25" s="110"/>
      <c r="X25" s="8"/>
      <c r="Z25" s="27"/>
      <c r="AA25" s="27"/>
    </row>
    <row r="26" spans="1:28" x14ac:dyDescent="0.25">
      <c r="A26">
        <v>1</v>
      </c>
      <c r="B26" s="103">
        <f t="shared" si="12"/>
        <v>-3.2464809999999957</v>
      </c>
      <c r="C26" s="103">
        <f>B26/((1+$D$9)^A14)</f>
        <v>-3.0765473905928862</v>
      </c>
      <c r="D26" s="103">
        <f>C26</f>
        <v>-3.0765473905928862</v>
      </c>
      <c r="E26" s="35">
        <f t="shared" si="13"/>
        <v>-3.2464809999999957</v>
      </c>
      <c r="F26" s="35">
        <f>E26/((1+$D$9)^$A26)</f>
        <v>-3.0765473905928862</v>
      </c>
      <c r="G26" s="35">
        <f>F26</f>
        <v>-3.0765473905928862</v>
      </c>
      <c r="H26" s="100">
        <f t="shared" si="14"/>
        <v>-3.2464809999999957</v>
      </c>
      <c r="I26" s="100">
        <f>H26/((1+$D$9)^$A26)</f>
        <v>-3.0765473905928862</v>
      </c>
      <c r="J26" s="100">
        <f>I26</f>
        <v>-3.0765473905928862</v>
      </c>
      <c r="K26" s="40">
        <f t="shared" si="15"/>
        <v>-3.2464809999999957</v>
      </c>
      <c r="L26" s="40">
        <f>M14/((1+$H$8)^A14)</f>
        <v>-3.0627179245282976</v>
      </c>
      <c r="M26" s="40">
        <f>L26</f>
        <v>-3.0627179245282976</v>
      </c>
      <c r="N26" s="40">
        <f t="shared" si="16"/>
        <v>1.7546276022514073</v>
      </c>
      <c r="O26" s="40">
        <f>N26/((1+$J$8)^A14)</f>
        <v>1.4869725442808537</v>
      </c>
      <c r="P26" s="40">
        <f>O26</f>
        <v>1.4869725442808537</v>
      </c>
      <c r="Z26" s="27"/>
      <c r="AA26" s="27"/>
    </row>
    <row r="27" spans="1:28" x14ac:dyDescent="0.25">
      <c r="A27">
        <v>2</v>
      </c>
      <c r="B27" s="103">
        <f t="shared" si="12"/>
        <v>-3.5256783660000242</v>
      </c>
      <c r="C27" s="103">
        <f t="shared" ref="C27:C30" si="17">B27/((1+$D$9)^A15)</f>
        <v>-3.1662425307181805</v>
      </c>
      <c r="D27" s="103">
        <f>D26+C27</f>
        <v>-6.2427899213110667</v>
      </c>
      <c r="E27" s="35">
        <f t="shared" si="13"/>
        <v>-3.5256783660000242</v>
      </c>
      <c r="F27" s="35">
        <f>E27/((1+$D$9)^A27)</f>
        <v>-3.1662425307181805</v>
      </c>
      <c r="G27" s="35">
        <f>G26+F27</f>
        <v>-6.2427899213110667</v>
      </c>
      <c r="H27" s="100">
        <f t="shared" si="14"/>
        <v>-3.5256783660000242</v>
      </c>
      <c r="I27" s="100">
        <f>H27/((1+$D$9)^$A27)</f>
        <v>-3.1662425307181805</v>
      </c>
      <c r="J27" s="100">
        <f>J26+I27</f>
        <v>-6.2427899213110667</v>
      </c>
      <c r="K27" s="40">
        <f t="shared" si="15"/>
        <v>-3.5256783660000242</v>
      </c>
      <c r="L27" s="40">
        <f>M15/((1+$H$8)^A15)</f>
        <v>-3.1378411943752438</v>
      </c>
      <c r="M27" s="40">
        <f>M26+L27</f>
        <v>-6.2005591189035414</v>
      </c>
      <c r="N27" s="40">
        <f t="shared" si="16"/>
        <v>1.9055255760450287</v>
      </c>
      <c r="O27" s="40">
        <f>N27/((1+$J$8)^A15)</f>
        <v>1.3685187992279726</v>
      </c>
      <c r="P27" s="40">
        <f>P26+O27</f>
        <v>2.8554913435088265</v>
      </c>
      <c r="Z27" s="27"/>
      <c r="AA27" s="27"/>
    </row>
    <row r="28" spans="1:28" x14ac:dyDescent="0.25">
      <c r="A28">
        <v>3</v>
      </c>
      <c r="B28" s="103">
        <f t="shared" si="12"/>
        <v>-3.8288867054760285</v>
      </c>
      <c r="C28" s="103">
        <f t="shared" si="17"/>
        <v>-3.2585526860344061</v>
      </c>
      <c r="D28" s="103">
        <f>D27+C28</f>
        <v>-9.5013426073454728</v>
      </c>
      <c r="E28" s="35">
        <f t="shared" si="13"/>
        <v>-3.8288867054760285</v>
      </c>
      <c r="F28" s="35">
        <f>E28/((1+$D$9)^A28)</f>
        <v>-3.2585526860344061</v>
      </c>
      <c r="G28" s="35">
        <f t="shared" ref="G28:G30" si="18">G27+F28</f>
        <v>-9.5013426073454728</v>
      </c>
      <c r="H28" s="100">
        <f t="shared" si="14"/>
        <v>-3.8288867054760285</v>
      </c>
      <c r="I28" s="100">
        <f>H28/((1+$D$9)^$A28)</f>
        <v>-3.2585526860344061</v>
      </c>
      <c r="J28" s="100">
        <f t="shared" ref="J28:J30" si="19">J27+I28</f>
        <v>-9.5013426073454728</v>
      </c>
      <c r="K28" s="40">
        <f t="shared" si="15"/>
        <v>-3.8288867054760285</v>
      </c>
      <c r="L28" s="40">
        <f>M16/((1+$H$8)^A16)</f>
        <v>-3.2148071104636946</v>
      </c>
      <c r="M28" s="40">
        <f>M27+L28</f>
        <v>-9.4153662293672369</v>
      </c>
      <c r="N28" s="40">
        <f t="shared" si="16"/>
        <v>2.0694007755849007</v>
      </c>
      <c r="O28" s="40">
        <f>N28/((1+$J$8)^A16)</f>
        <v>1.2595011999674388</v>
      </c>
      <c r="P28" s="40">
        <f t="shared" ref="P28:P30" si="20">P27+O28</f>
        <v>4.1149925434762658</v>
      </c>
    </row>
    <row r="29" spans="1:28" x14ac:dyDescent="0.25">
      <c r="A29">
        <v>4</v>
      </c>
      <c r="B29" s="103">
        <f t="shared" si="12"/>
        <v>-4.1581709621469507</v>
      </c>
      <c r="C29" s="103">
        <f t="shared" si="17"/>
        <v>-3.3535540959502992</v>
      </c>
      <c r="D29" s="103">
        <f>D28+C29</f>
        <v>-12.854896703295772</v>
      </c>
      <c r="E29" s="35">
        <f t="shared" si="13"/>
        <v>-4.1581709621469507</v>
      </c>
      <c r="F29" s="35">
        <f>E29/((1+$D$9)^A29)</f>
        <v>-3.3535540959502992</v>
      </c>
      <c r="G29" s="35">
        <f t="shared" si="18"/>
        <v>-12.854896703295772</v>
      </c>
      <c r="H29" s="100">
        <f t="shared" si="14"/>
        <v>-4.1581709621469507</v>
      </c>
      <c r="I29" s="100">
        <f>H29/((1+$D$9)^$A29)</f>
        <v>-3.3535540959502992</v>
      </c>
      <c r="J29" s="100">
        <f t="shared" si="19"/>
        <v>-12.854896703295772</v>
      </c>
      <c r="K29" s="40">
        <f t="shared" si="15"/>
        <v>-4.1581709621469507</v>
      </c>
      <c r="L29" s="40">
        <f>M17/((1+$H$8)^A17)</f>
        <v>-3.2936608697769421</v>
      </c>
      <c r="M29" s="40">
        <f>M28+L29</f>
        <v>-12.70902709914418</v>
      </c>
      <c r="N29" s="40">
        <f t="shared" si="16"/>
        <v>2.2473692422852025</v>
      </c>
      <c r="O29" s="40">
        <f>N29/((1+$J$8)^A17)</f>
        <v>1.1591680535293549</v>
      </c>
      <c r="P29" s="40">
        <f t="shared" si="20"/>
        <v>5.2741605970056202</v>
      </c>
    </row>
    <row r="30" spans="1:28" x14ac:dyDescent="0.25">
      <c r="A30">
        <v>5</v>
      </c>
      <c r="B30" s="103">
        <f t="shared" si="12"/>
        <v>-4.5157736648915794</v>
      </c>
      <c r="C30" s="103">
        <f t="shared" si="17"/>
        <v>-3.4513252225949436</v>
      </c>
      <c r="D30" s="103">
        <f>D29+C30</f>
        <v>-16.306221925890714</v>
      </c>
      <c r="E30" s="35">
        <f t="shared" si="13"/>
        <v>-4.5157736648915794</v>
      </c>
      <c r="F30" s="35">
        <f>E30/((1+$D$9)^A30)</f>
        <v>-3.4513252225949436</v>
      </c>
      <c r="G30" s="35">
        <f t="shared" si="18"/>
        <v>-16.306221925890714</v>
      </c>
      <c r="H30" s="100">
        <f t="shared" si="14"/>
        <v>-4.5157736648915794</v>
      </c>
      <c r="I30" s="100">
        <f>H30/((1+$D$9)^$A30)</f>
        <v>-3.4513252225949436</v>
      </c>
      <c r="J30" s="100">
        <f t="shared" si="19"/>
        <v>-16.306221925890714</v>
      </c>
      <c r="K30" s="40">
        <f t="shared" si="15"/>
        <v>-4.5157736648915794</v>
      </c>
      <c r="L30" s="40">
        <f>M18/((1+$H$8)^A18)</f>
        <v>-3.374448777903539</v>
      </c>
      <c r="M30" s="40">
        <f>M29+L30</f>
        <v>-16.083475877047718</v>
      </c>
      <c r="N30" s="40">
        <f t="shared" si="16"/>
        <v>2.4406429971217301</v>
      </c>
      <c r="O30" s="40">
        <f>N30/((1+$J$8)^A18)</f>
        <v>1.0668275475702371</v>
      </c>
      <c r="P30" s="40">
        <f t="shared" si="20"/>
        <v>6.3409881445758574</v>
      </c>
    </row>
    <row r="31" spans="1:28" x14ac:dyDescent="0.25">
      <c r="B31" s="103">
        <f t="shared" si="12"/>
        <v>3.9048902631913514</v>
      </c>
      <c r="C31" s="121"/>
      <c r="D31" s="121"/>
      <c r="E31" s="35">
        <f t="shared" si="13"/>
        <v>3.9048902631913514</v>
      </c>
      <c r="F31" s="35"/>
      <c r="G31" s="35"/>
      <c r="H31" s="100">
        <f t="shared" si="14"/>
        <v>3.9048902631913514</v>
      </c>
      <c r="I31" s="100"/>
      <c r="J31" s="100"/>
      <c r="K31" s="40">
        <f t="shared" si="15"/>
        <v>3.9048902631913514</v>
      </c>
      <c r="L31" s="110"/>
      <c r="M31" s="110"/>
      <c r="N31" s="40">
        <f t="shared" si="16"/>
        <v>2.6505382948741993</v>
      </c>
      <c r="O31" s="110"/>
      <c r="P31" s="110"/>
    </row>
    <row r="32" spans="1:28" x14ac:dyDescent="0.25">
      <c r="B32" s="104"/>
      <c r="C32" s="104"/>
      <c r="D32" s="104"/>
      <c r="E32" s="36"/>
      <c r="F32" s="36"/>
      <c r="G32" s="36"/>
      <c r="H32" s="101"/>
      <c r="I32" s="101"/>
      <c r="J32" s="101"/>
      <c r="K32" s="30"/>
      <c r="L32" s="30"/>
      <c r="M32" s="30"/>
      <c r="N32" s="30"/>
      <c r="O32" s="30"/>
      <c r="P32" s="30"/>
    </row>
    <row r="33" spans="2:20" ht="18" x14ac:dyDescent="0.35">
      <c r="B33" s="122"/>
      <c r="C33" s="123" t="s">
        <v>175</v>
      </c>
      <c r="D33" s="122">
        <f>D30</f>
        <v>-16.306221925890714</v>
      </c>
      <c r="E33" s="115"/>
      <c r="F33" s="116" t="s">
        <v>25</v>
      </c>
      <c r="G33" s="115">
        <f>G30</f>
        <v>-16.306221925890714</v>
      </c>
      <c r="H33" s="109"/>
      <c r="I33" s="117" t="s">
        <v>142</v>
      </c>
      <c r="J33" s="109">
        <f>J30</f>
        <v>-16.306221925890714</v>
      </c>
      <c r="K33" s="118"/>
      <c r="L33" s="119" t="s">
        <v>38</v>
      </c>
      <c r="M33" s="118">
        <f>M30</f>
        <v>-16.083475877047718</v>
      </c>
      <c r="N33" s="118"/>
      <c r="O33" s="119" t="s">
        <v>148</v>
      </c>
      <c r="P33" s="118">
        <f>P30</f>
        <v>6.3409881445758574</v>
      </c>
    </row>
    <row r="34" spans="2:20" ht="18" x14ac:dyDescent="0.35">
      <c r="B34" s="122"/>
      <c r="C34" s="123" t="s">
        <v>176</v>
      </c>
      <c r="D34" s="124">
        <f>'Fin Stmt'!P44*'VAL without Adjusts -simplified'!G19</f>
        <v>171.73725913644969</v>
      </c>
      <c r="E34" s="115"/>
      <c r="F34" s="116" t="s">
        <v>30</v>
      </c>
      <c r="G34" s="115">
        <f>(E31)/(D9-D5)</f>
        <v>154.74001966489348</v>
      </c>
      <c r="H34" s="109"/>
      <c r="I34" s="117" t="s">
        <v>143</v>
      </c>
      <c r="J34" s="109">
        <f>(J19*(1-(D5/N19)))/(D9-D5)</f>
        <v>148.82227995977348</v>
      </c>
      <c r="K34" s="118"/>
      <c r="L34" s="119" t="s">
        <v>149</v>
      </c>
      <c r="M34" s="118">
        <f>(K31)/(H8-D5)</f>
        <v>130.16300877304505</v>
      </c>
      <c r="N34" s="118"/>
      <c r="O34" s="119" t="s">
        <v>150</v>
      </c>
      <c r="P34" s="118">
        <f>(N31)/(J8-D5)</f>
        <v>17.67025529916133</v>
      </c>
    </row>
    <row r="35" spans="2:20" ht="18" x14ac:dyDescent="0.35">
      <c r="B35" s="122"/>
      <c r="C35" s="123" t="s">
        <v>177</v>
      </c>
      <c r="D35" s="122">
        <f>D34/((1+D9)^A18)</f>
        <v>131.25572229740695</v>
      </c>
      <c r="E35" s="115"/>
      <c r="F35" s="116" t="s">
        <v>31</v>
      </c>
      <c r="G35" s="115">
        <f>G34/((1+D9)^A30)</f>
        <v>118.26503550573915</v>
      </c>
      <c r="H35" s="109"/>
      <c r="I35" s="117" t="s">
        <v>144</v>
      </c>
      <c r="J35" s="109">
        <f>J34/((1+D9)^A18)</f>
        <v>113.74221265838935</v>
      </c>
      <c r="K35" s="118"/>
      <c r="L35" s="119" t="s">
        <v>151</v>
      </c>
      <c r="M35" s="118">
        <f>M34/((1+H8)^A30)</f>
        <v>97.265372110494184</v>
      </c>
      <c r="N35" s="118"/>
      <c r="O35" s="119" t="s">
        <v>152</v>
      </c>
      <c r="P35" s="118">
        <f>P34/((1+J8)^A18)</f>
        <v>7.7238314444085185</v>
      </c>
    </row>
    <row r="36" spans="2:20" ht="18" x14ac:dyDescent="0.35">
      <c r="B36" s="122"/>
      <c r="C36" s="123" t="s">
        <v>178</v>
      </c>
      <c r="D36" s="122">
        <f>D33+D35</f>
        <v>114.94950037151624</v>
      </c>
      <c r="E36" s="115"/>
      <c r="F36" s="116" t="s">
        <v>32</v>
      </c>
      <c r="G36" s="115">
        <f>G33+G35</f>
        <v>101.95881357984844</v>
      </c>
      <c r="H36" s="109"/>
      <c r="I36" s="117" t="s">
        <v>145</v>
      </c>
      <c r="J36" s="109">
        <f>J35+J33</f>
        <v>97.435990732498638</v>
      </c>
      <c r="K36" s="118"/>
      <c r="L36" s="119" t="s">
        <v>153</v>
      </c>
      <c r="M36" s="118">
        <f>M33+M35</f>
        <v>81.181896233446466</v>
      </c>
      <c r="N36" s="118"/>
      <c r="O36" s="119" t="s">
        <v>154</v>
      </c>
      <c r="P36" s="118">
        <f>P33+P35</f>
        <v>14.064819588984376</v>
      </c>
    </row>
    <row r="37" spans="2:20" x14ac:dyDescent="0.25">
      <c r="D37" s="31"/>
      <c r="E37" s="114"/>
      <c r="F37" s="120"/>
      <c r="G37" s="120"/>
      <c r="H37" s="120"/>
      <c r="I37" s="120"/>
      <c r="J37" s="120"/>
      <c r="K37" s="120"/>
      <c r="L37" s="118"/>
      <c r="M37" s="118"/>
      <c r="N37" s="118"/>
      <c r="O37" s="118"/>
      <c r="P37" s="118"/>
      <c r="Q37" s="118"/>
      <c r="R37" s="120"/>
      <c r="S37" s="120"/>
      <c r="T37" s="120"/>
    </row>
    <row r="38" spans="2:20" x14ac:dyDescent="0.25">
      <c r="E38" s="120"/>
      <c r="F38" s="120"/>
      <c r="G38" s="120"/>
      <c r="H38" s="120"/>
      <c r="I38" s="120"/>
      <c r="J38" s="120"/>
      <c r="K38" s="120"/>
      <c r="L38" s="118"/>
      <c r="M38" s="119" t="s">
        <v>16</v>
      </c>
      <c r="N38" s="118">
        <f>M36+P36</f>
        <v>95.246715822430843</v>
      </c>
      <c r="P38" s="118"/>
      <c r="Q38" s="118"/>
      <c r="R38" s="120"/>
      <c r="S38" s="120"/>
      <c r="T38" s="120"/>
    </row>
    <row r="41" spans="2:20" x14ac:dyDescent="0.25">
      <c r="H41" s="22"/>
    </row>
    <row r="42" spans="2:20" x14ac:dyDescent="0.25">
      <c r="H42" s="22"/>
    </row>
    <row r="43" spans="2:20" x14ac:dyDescent="0.25">
      <c r="H43" s="22"/>
    </row>
  </sheetData>
  <mergeCells count="18">
    <mergeCell ref="A5:C5"/>
    <mergeCell ref="F5:H5"/>
    <mergeCell ref="N5:O5"/>
    <mergeCell ref="A6:C6"/>
    <mergeCell ref="A1:P1"/>
    <mergeCell ref="X14:X19"/>
    <mergeCell ref="B23:D23"/>
    <mergeCell ref="E23:G23"/>
    <mergeCell ref="A7:C7"/>
    <mergeCell ref="A8:C8"/>
    <mergeCell ref="A9:C9"/>
    <mergeCell ref="A11:C11"/>
    <mergeCell ref="F11:H11"/>
    <mergeCell ref="H23:J23"/>
    <mergeCell ref="K23:M23"/>
    <mergeCell ref="N23:P23"/>
    <mergeCell ref="K22:P22"/>
    <mergeCell ref="B21:C21"/>
  </mergeCells>
  <pageMargins left="0.7" right="0.7" top="0.75" bottom="0.75" header="0.3" footer="0.3"/>
  <pageSetup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zoomScale="150" zoomScaleNormal="150" workbookViewId="0">
      <selection activeCell="G17" sqref="G17"/>
    </sheetView>
  </sheetViews>
  <sheetFormatPr defaultRowHeight="15" x14ac:dyDescent="0.25"/>
  <cols>
    <col min="1" max="2" width="17.7109375" customWidth="1"/>
    <col min="3" max="4" width="15.7109375" customWidth="1"/>
    <col min="5" max="6" width="17.7109375" customWidth="1"/>
    <col min="7" max="9" width="15.7109375" customWidth="1"/>
    <col min="10" max="10" width="17.7109375" customWidth="1"/>
    <col min="12" max="12" width="12.7109375" customWidth="1"/>
  </cols>
  <sheetData>
    <row r="2" spans="1:9" ht="17.25" x14ac:dyDescent="0.25">
      <c r="A2" s="169" t="s">
        <v>191</v>
      </c>
      <c r="B2" s="169"/>
      <c r="C2" s="169"/>
      <c r="D2" s="169"/>
      <c r="E2" s="169"/>
    </row>
    <row r="4" spans="1:9" ht="30" x14ac:dyDescent="0.25">
      <c r="B4" s="143" t="s">
        <v>192</v>
      </c>
      <c r="C4" s="111" t="s">
        <v>162</v>
      </c>
      <c r="D4" s="89" t="s">
        <v>163</v>
      </c>
      <c r="E4" s="89" t="s">
        <v>164</v>
      </c>
    </row>
    <row r="5" spans="1:9" x14ac:dyDescent="0.25">
      <c r="B5" s="105">
        <v>4.9500000000000002E-2</v>
      </c>
      <c r="C5" s="112">
        <v>350000</v>
      </c>
      <c r="D5" s="88">
        <f>E22</f>
        <v>136325</v>
      </c>
      <c r="E5" s="78">
        <f>D5/C5</f>
        <v>0.38950000000000001</v>
      </c>
    </row>
    <row r="7" spans="1:9" x14ac:dyDescent="0.25">
      <c r="A7" s="112"/>
      <c r="B7" s="112"/>
      <c r="C7" s="112"/>
      <c r="D7" s="113"/>
      <c r="E7" s="88"/>
      <c r="F7" s="113"/>
      <c r="G7" s="112"/>
      <c r="H7" s="88"/>
      <c r="I7" s="112"/>
    </row>
    <row r="8" spans="1:9" x14ac:dyDescent="0.25">
      <c r="A8" s="112"/>
      <c r="B8" s="112"/>
      <c r="C8" s="112"/>
      <c r="D8" s="112"/>
      <c r="E8" s="112"/>
      <c r="F8" s="112"/>
      <c r="H8" s="112"/>
      <c r="I8" s="112"/>
    </row>
    <row r="9" spans="1:9" ht="30" x14ac:dyDescent="0.25">
      <c r="A9" s="111" t="s">
        <v>165</v>
      </c>
      <c r="B9" s="111" t="s">
        <v>166</v>
      </c>
      <c r="C9" s="111" t="s">
        <v>167</v>
      </c>
      <c r="D9" s="111" t="s">
        <v>168</v>
      </c>
      <c r="E9" s="111" t="s">
        <v>169</v>
      </c>
    </row>
    <row r="11" spans="1:9" x14ac:dyDescent="0.25">
      <c r="A11" s="76">
        <v>0</v>
      </c>
      <c r="B11" s="76">
        <v>50000</v>
      </c>
      <c r="C11">
        <v>0.15</v>
      </c>
      <c r="D11" s="88">
        <f>IF(C5&gt;=B11, B11*C11, C$5*C11)</f>
        <v>7500</v>
      </c>
      <c r="E11" s="88">
        <f>D11</f>
        <v>7500</v>
      </c>
    </row>
    <row r="12" spans="1:9" x14ac:dyDescent="0.25">
      <c r="A12" s="76">
        <v>50001</v>
      </c>
      <c r="B12" s="76">
        <v>75000</v>
      </c>
      <c r="C12">
        <v>0.25</v>
      </c>
      <c r="D12" s="88">
        <f t="shared" ref="D12:D17" si="0">IF(C$5&gt;=B12, ((B12-A12+1)*C12), IF(C$5 &lt; A12, 0, (C$5-A12+1)*C12))</f>
        <v>6250</v>
      </c>
      <c r="E12" s="88">
        <f>E11+D12</f>
        <v>13750</v>
      </c>
    </row>
    <row r="13" spans="1:9" x14ac:dyDescent="0.25">
      <c r="A13" s="76">
        <v>75001</v>
      </c>
      <c r="B13" s="76">
        <v>100000</v>
      </c>
      <c r="C13">
        <v>0.34</v>
      </c>
      <c r="D13" s="88">
        <f t="shared" si="0"/>
        <v>8500</v>
      </c>
      <c r="E13" s="88">
        <f t="shared" ref="E13:E18" si="1">E12+D13</f>
        <v>22250</v>
      </c>
    </row>
    <row r="14" spans="1:9" x14ac:dyDescent="0.25">
      <c r="A14" s="76">
        <v>100001</v>
      </c>
      <c r="B14" s="76">
        <v>335000</v>
      </c>
      <c r="C14">
        <v>0.39</v>
      </c>
      <c r="D14" s="88">
        <f t="shared" si="0"/>
        <v>91650</v>
      </c>
      <c r="E14" s="88">
        <f t="shared" si="1"/>
        <v>113900</v>
      </c>
    </row>
    <row r="15" spans="1:9" x14ac:dyDescent="0.25">
      <c r="A15" s="76">
        <v>335001</v>
      </c>
      <c r="B15" s="76">
        <v>10000000</v>
      </c>
      <c r="C15">
        <v>0.34</v>
      </c>
      <c r="D15" s="88">
        <f t="shared" si="0"/>
        <v>5100</v>
      </c>
      <c r="E15" s="88">
        <f t="shared" si="1"/>
        <v>119000</v>
      </c>
    </row>
    <row r="16" spans="1:9" x14ac:dyDescent="0.25">
      <c r="A16" s="76">
        <v>10000001</v>
      </c>
      <c r="B16" s="76">
        <v>15000000</v>
      </c>
      <c r="C16">
        <v>0.35</v>
      </c>
      <c r="D16" s="88">
        <f t="shared" si="0"/>
        <v>0</v>
      </c>
      <c r="E16" s="88">
        <f t="shared" si="1"/>
        <v>119000</v>
      </c>
    </row>
    <row r="17" spans="1:9" x14ac:dyDescent="0.25">
      <c r="A17" s="76">
        <v>15000001</v>
      </c>
      <c r="B17" s="76">
        <v>18333333</v>
      </c>
      <c r="C17">
        <v>0.38</v>
      </c>
      <c r="D17" s="88">
        <f t="shared" si="0"/>
        <v>0</v>
      </c>
      <c r="E17" s="88">
        <f t="shared" si="1"/>
        <v>119000</v>
      </c>
    </row>
    <row r="18" spans="1:9" x14ac:dyDescent="0.25">
      <c r="A18" s="76">
        <v>18333334</v>
      </c>
      <c r="C18">
        <v>0.35</v>
      </c>
      <c r="D18" s="88">
        <f>IF(C$5&gt;A18, ((C$5-A18+1)*C18), 0)</f>
        <v>0</v>
      </c>
      <c r="E18" s="88">
        <f t="shared" si="1"/>
        <v>119000</v>
      </c>
    </row>
    <row r="19" spans="1:9" x14ac:dyDescent="0.25">
      <c r="A19" s="76"/>
      <c r="D19" s="88"/>
      <c r="E19" s="88"/>
    </row>
    <row r="20" spans="1:9" x14ac:dyDescent="0.25">
      <c r="A20" s="144" t="s">
        <v>193</v>
      </c>
      <c r="D20" s="88"/>
      <c r="E20" s="88">
        <f>C5*B5</f>
        <v>17325</v>
      </c>
    </row>
    <row r="21" spans="1:9" x14ac:dyDescent="0.25">
      <c r="A21" s="76"/>
      <c r="D21" s="88"/>
      <c r="E21" s="88"/>
    </row>
    <row r="22" spans="1:9" x14ac:dyDescent="0.25">
      <c r="A22" s="144" t="s">
        <v>194</v>
      </c>
      <c r="D22" s="88"/>
      <c r="E22" s="88">
        <f>E18+E20</f>
        <v>136325</v>
      </c>
    </row>
    <row r="23" spans="1:9" x14ac:dyDescent="0.25">
      <c r="A23" s="22"/>
      <c r="B23" s="14"/>
      <c r="C23" s="74"/>
      <c r="I23" s="88"/>
    </row>
    <row r="24" spans="1:9" ht="17.25" x14ac:dyDescent="0.25">
      <c r="A24" s="145" t="s">
        <v>195</v>
      </c>
      <c r="B24" s="14"/>
      <c r="C24" s="74"/>
    </row>
    <row r="25" spans="1:9" x14ac:dyDescent="0.25">
      <c r="A25" s="22"/>
      <c r="B25" s="14"/>
      <c r="C25" s="74"/>
    </row>
  </sheetData>
  <mergeCells count="1">
    <mergeCell ref="A2:E2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zoomScale="150" zoomScaleNormal="150" workbookViewId="0">
      <selection activeCell="E5" sqref="E5"/>
    </sheetView>
  </sheetViews>
  <sheetFormatPr defaultRowHeight="15" x14ac:dyDescent="0.25"/>
  <cols>
    <col min="1" max="2" width="17.7109375" customWidth="1"/>
    <col min="3" max="4" width="15.7109375" customWidth="1"/>
    <col min="5" max="6" width="17.7109375" customWidth="1"/>
    <col min="7" max="9" width="15.7109375" customWidth="1"/>
    <col min="10" max="10" width="17.7109375" customWidth="1"/>
    <col min="12" max="12" width="12.7109375" customWidth="1"/>
  </cols>
  <sheetData>
    <row r="2" spans="1:9" ht="17.25" x14ac:dyDescent="0.25">
      <c r="A2" s="169" t="s">
        <v>191</v>
      </c>
      <c r="B2" s="169"/>
      <c r="C2" s="169"/>
      <c r="D2" s="169"/>
      <c r="E2" s="169"/>
    </row>
    <row r="4" spans="1:9" ht="30" x14ac:dyDescent="0.25">
      <c r="B4" s="143" t="s">
        <v>192</v>
      </c>
      <c r="C4" s="111" t="s">
        <v>162</v>
      </c>
      <c r="D4" s="89" t="s">
        <v>163</v>
      </c>
      <c r="E4" s="89" t="s">
        <v>164</v>
      </c>
    </row>
    <row r="5" spans="1:9" x14ac:dyDescent="0.25">
      <c r="B5" s="105">
        <v>4.9500000000000002E-2</v>
      </c>
      <c r="C5" s="112">
        <v>4290000</v>
      </c>
      <c r="D5" s="88">
        <f>E22</f>
        <v>1113255</v>
      </c>
      <c r="E5" s="78">
        <f>D5/C5</f>
        <v>0.25950000000000001</v>
      </c>
    </row>
    <row r="7" spans="1:9" x14ac:dyDescent="0.25">
      <c r="A7" s="112"/>
      <c r="B7" s="112"/>
      <c r="C7" s="112"/>
      <c r="D7" s="113"/>
      <c r="E7" s="88"/>
      <c r="F7" s="113"/>
      <c r="G7" s="112"/>
      <c r="H7" s="88"/>
      <c r="I7" s="112"/>
    </row>
    <row r="8" spans="1:9" x14ac:dyDescent="0.25">
      <c r="A8" s="112"/>
      <c r="B8" s="112"/>
      <c r="C8" s="112"/>
      <c r="D8" s="112"/>
      <c r="E8" s="112"/>
      <c r="F8" s="112"/>
      <c r="H8" s="112"/>
      <c r="I8" s="112"/>
    </row>
    <row r="9" spans="1:9" ht="30" x14ac:dyDescent="0.25">
      <c r="A9" s="111" t="s">
        <v>165</v>
      </c>
      <c r="B9" s="111" t="s">
        <v>166</v>
      </c>
      <c r="C9" s="111" t="s">
        <v>167</v>
      </c>
      <c r="D9" s="111" t="s">
        <v>168</v>
      </c>
      <c r="E9" s="111" t="s">
        <v>169</v>
      </c>
    </row>
    <row r="11" spans="1:9" x14ac:dyDescent="0.25">
      <c r="A11" s="76">
        <v>0</v>
      </c>
      <c r="B11" s="76">
        <v>50000</v>
      </c>
      <c r="C11">
        <v>0.21</v>
      </c>
      <c r="D11" s="88">
        <f>IF(C5&gt;=B11, B11*C11, C$5*C11)</f>
        <v>10500</v>
      </c>
      <c r="E11" s="88">
        <f>D11</f>
        <v>10500</v>
      </c>
    </row>
    <row r="12" spans="1:9" x14ac:dyDescent="0.25">
      <c r="A12" s="76">
        <v>50001</v>
      </c>
      <c r="B12" s="76">
        <v>75000</v>
      </c>
      <c r="C12">
        <v>0.21</v>
      </c>
      <c r="D12" s="88">
        <f t="shared" ref="D12:D17" si="0">IF(C$5&gt;=B12, ((B12-A12+1)*C12), IF(C$5 &lt; A12, 0, (C$5-A12+1)*C12))</f>
        <v>5250</v>
      </c>
      <c r="E12" s="88">
        <f>E11+D12</f>
        <v>15750</v>
      </c>
    </row>
    <row r="13" spans="1:9" x14ac:dyDescent="0.25">
      <c r="A13" s="76">
        <v>75001</v>
      </c>
      <c r="B13" s="76">
        <v>100000</v>
      </c>
      <c r="C13">
        <v>0.21</v>
      </c>
      <c r="D13" s="88">
        <f t="shared" si="0"/>
        <v>5250</v>
      </c>
      <c r="E13" s="88">
        <f t="shared" ref="E13:E18" si="1">E12+D13</f>
        <v>21000</v>
      </c>
    </row>
    <row r="14" spans="1:9" x14ac:dyDescent="0.25">
      <c r="A14" s="76">
        <v>100001</v>
      </c>
      <c r="B14" s="76">
        <v>335000</v>
      </c>
      <c r="C14">
        <v>0.21</v>
      </c>
      <c r="D14" s="88">
        <f t="shared" si="0"/>
        <v>49350</v>
      </c>
      <c r="E14" s="88">
        <f t="shared" si="1"/>
        <v>70350</v>
      </c>
    </row>
    <row r="15" spans="1:9" x14ac:dyDescent="0.25">
      <c r="A15" s="76">
        <v>335001</v>
      </c>
      <c r="B15" s="76">
        <v>10000000</v>
      </c>
      <c r="C15">
        <v>0.21</v>
      </c>
      <c r="D15" s="88">
        <f t="shared" si="0"/>
        <v>830550</v>
      </c>
      <c r="E15" s="88">
        <f t="shared" si="1"/>
        <v>900900</v>
      </c>
    </row>
    <row r="16" spans="1:9" x14ac:dyDescent="0.25">
      <c r="A16" s="76">
        <v>10000001</v>
      </c>
      <c r="B16" s="76">
        <v>15000000</v>
      </c>
      <c r="C16">
        <v>0.21</v>
      </c>
      <c r="D16" s="88">
        <f t="shared" si="0"/>
        <v>0</v>
      </c>
      <c r="E16" s="88">
        <f t="shared" si="1"/>
        <v>900900</v>
      </c>
    </row>
    <row r="17" spans="1:9" x14ac:dyDescent="0.25">
      <c r="A17" s="76">
        <v>15000001</v>
      </c>
      <c r="B17" s="76">
        <v>18333333</v>
      </c>
      <c r="C17">
        <v>0.21</v>
      </c>
      <c r="D17" s="88">
        <f t="shared" si="0"/>
        <v>0</v>
      </c>
      <c r="E17" s="88">
        <f t="shared" si="1"/>
        <v>900900</v>
      </c>
    </row>
    <row r="18" spans="1:9" x14ac:dyDescent="0.25">
      <c r="A18" s="76">
        <v>18333334</v>
      </c>
      <c r="C18">
        <v>0.21</v>
      </c>
      <c r="D18" s="88">
        <f>IF(C$5&gt;A18, ((C$5-A18+1)*C18), 0)</f>
        <v>0</v>
      </c>
      <c r="E18" s="88">
        <f t="shared" si="1"/>
        <v>900900</v>
      </c>
    </row>
    <row r="19" spans="1:9" x14ac:dyDescent="0.25">
      <c r="A19" s="76"/>
      <c r="D19" s="88"/>
      <c r="E19" s="88"/>
    </row>
    <row r="20" spans="1:9" x14ac:dyDescent="0.25">
      <c r="A20" s="144" t="s">
        <v>193</v>
      </c>
      <c r="D20" s="88"/>
      <c r="E20" s="88">
        <f>C5*B5</f>
        <v>212355</v>
      </c>
    </row>
    <row r="21" spans="1:9" x14ac:dyDescent="0.25">
      <c r="A21" s="76"/>
      <c r="D21" s="88"/>
      <c r="E21" s="88"/>
    </row>
    <row r="22" spans="1:9" x14ac:dyDescent="0.25">
      <c r="A22" s="144" t="s">
        <v>194</v>
      </c>
      <c r="D22" s="88"/>
      <c r="E22" s="88">
        <f>E18+E20</f>
        <v>1113255</v>
      </c>
    </row>
    <row r="23" spans="1:9" x14ac:dyDescent="0.25">
      <c r="A23" s="22"/>
      <c r="B23" s="14"/>
      <c r="C23" s="74"/>
      <c r="I23" s="88"/>
    </row>
    <row r="24" spans="1:9" ht="17.25" x14ac:dyDescent="0.25">
      <c r="A24" s="145" t="s">
        <v>195</v>
      </c>
      <c r="B24" s="14"/>
      <c r="C24" s="74"/>
    </row>
    <row r="25" spans="1:9" x14ac:dyDescent="0.25">
      <c r="A25" s="22"/>
      <c r="B25" s="14"/>
      <c r="C25" s="74"/>
    </row>
  </sheetData>
  <mergeCells count="1">
    <mergeCell ref="A2:E2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 Stmt</vt:lpstr>
      <vt:lpstr>VAL without Adjusts</vt:lpstr>
      <vt:lpstr>VAL with Adjusts</vt:lpstr>
      <vt:lpstr>VAL without Adjusts -simplified</vt:lpstr>
      <vt:lpstr>Pre 2018 Tax</vt:lpstr>
      <vt:lpstr>Post 2017 Tax Schedule</vt:lpstr>
    </vt:vector>
  </TitlesOfParts>
  <Company>Westminster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Richard Haskell</cp:lastModifiedBy>
  <cp:lastPrinted>2018-09-20T23:51:12Z</cp:lastPrinted>
  <dcterms:created xsi:type="dcterms:W3CDTF">2015-09-15T14:34:05Z</dcterms:created>
  <dcterms:modified xsi:type="dcterms:W3CDTF">2019-04-25T16:38:02Z</dcterms:modified>
</cp:coreProperties>
</file>