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neDrive - Westminster College\COURSES  - CURRENT\Excel Assignments\"/>
    </mc:Choice>
  </mc:AlternateContent>
  <xr:revisionPtr revIDLastSave="57" documentId="8_{2AC1ACFE-306D-4A05-A5FE-1613C810F522}" xr6:coauthVersionLast="44" xr6:coauthVersionMax="44" xr10:uidLastSave="{A39F3762-5D37-4D54-973A-EDBD54A1D48B}"/>
  <bookViews>
    <workbookView xWindow="-28920" yWindow="1515" windowWidth="29040" windowHeight="15840" xr2:uid="{996AA97A-A735-40DD-BB09-C51AA20627F7}"/>
  </bookViews>
  <sheets>
    <sheet name="Corporate J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2" l="1"/>
  <c r="B32" i="2"/>
  <c r="B33" i="2" s="1"/>
  <c r="B34" i="2" s="1"/>
  <c r="B35" i="2" s="1"/>
  <c r="B36" i="2" s="1"/>
  <c r="B37" i="2" s="1"/>
  <c r="B31" i="2"/>
  <c r="R30" i="2"/>
  <c r="L30" i="2"/>
  <c r="F30" i="2"/>
  <c r="E25" i="2"/>
  <c r="D25" i="2"/>
  <c r="C25" i="2"/>
  <c r="N23" i="2"/>
  <c r="K23" i="2"/>
  <c r="N22" i="2"/>
  <c r="K22" i="2"/>
  <c r="H22" i="2"/>
  <c r="H23" i="2" s="1"/>
  <c r="N21" i="2"/>
  <c r="K21" i="2"/>
  <c r="H21" i="2"/>
  <c r="N20" i="2"/>
  <c r="K20" i="2"/>
  <c r="A20" i="2"/>
  <c r="A21" i="2" s="1"/>
  <c r="A22" i="2" s="1"/>
  <c r="A23" i="2" s="1"/>
  <c r="N19" i="2"/>
  <c r="K19" i="2"/>
  <c r="J19" i="2"/>
  <c r="J20" i="2" s="1"/>
  <c r="J21" i="2" s="1"/>
  <c r="J22" i="2" s="1"/>
  <c r="J23" i="2" s="1"/>
  <c r="N18" i="2"/>
  <c r="K18" i="2"/>
  <c r="H18" i="2"/>
  <c r="H19" i="2" s="1"/>
  <c r="H20" i="2" s="1"/>
  <c r="G18" i="2"/>
  <c r="G19" i="2" s="1"/>
  <c r="N17" i="2"/>
  <c r="K17" i="2"/>
  <c r="I17" i="2"/>
  <c r="I18" i="2" s="1"/>
  <c r="I19" i="2" s="1"/>
  <c r="I20" i="2" s="1"/>
  <c r="I21" i="2" s="1"/>
  <c r="I22" i="2" s="1"/>
  <c r="I23" i="2" s="1"/>
  <c r="H17" i="2"/>
  <c r="B17" i="2"/>
  <c r="B18" i="2" s="1"/>
  <c r="B19" i="2" s="1"/>
  <c r="B20" i="2" s="1"/>
  <c r="B21" i="2" s="1"/>
  <c r="B22" i="2" s="1"/>
  <c r="B23" i="2" s="1"/>
  <c r="A17" i="2"/>
  <c r="A18" i="2" s="1"/>
  <c r="A19" i="2" s="1"/>
  <c r="N16" i="2"/>
  <c r="K16" i="2"/>
  <c r="J16" i="2"/>
  <c r="J17" i="2" s="1"/>
  <c r="J18" i="2" s="1"/>
  <c r="I16" i="2"/>
  <c r="H16" i="2"/>
  <c r="G16" i="2"/>
  <c r="G17" i="2" s="1"/>
  <c r="E16" i="2"/>
  <c r="E17" i="2" s="1"/>
  <c r="E18" i="2" s="1"/>
  <c r="E19" i="2" s="1"/>
  <c r="E20" i="2" s="1"/>
  <c r="E21" i="2" s="1"/>
  <c r="E22" i="2" s="1"/>
  <c r="E23" i="2" s="1"/>
  <c r="G13" i="2"/>
  <c r="E41" i="2" s="1"/>
  <c r="E42" i="2" s="1"/>
  <c r="K11" i="2"/>
  <c r="T8" i="2"/>
  <c r="T7" i="2"/>
  <c r="D16" i="2" s="1"/>
  <c r="D17" i="2" s="1"/>
  <c r="D18" i="2" s="1"/>
  <c r="D19" i="2" s="1"/>
  <c r="D20" i="2" s="1"/>
  <c r="D21" i="2" s="1"/>
  <c r="D22" i="2" s="1"/>
  <c r="D23" i="2" s="1"/>
  <c r="O7" i="2"/>
  <c r="T6" i="2"/>
  <c r="G20" i="2" l="1"/>
  <c r="L19" i="2"/>
  <c r="L18" i="2"/>
  <c r="T9" i="2"/>
  <c r="L17" i="2"/>
  <c r="C16" i="2"/>
  <c r="L16" i="2"/>
  <c r="C17" i="2" l="1"/>
  <c r="F16" i="2"/>
  <c r="M16" i="2" s="1"/>
  <c r="O16" i="2" s="1"/>
  <c r="G21" i="2"/>
  <c r="L20" i="2"/>
  <c r="P16" i="2" l="1"/>
  <c r="Q16" i="2"/>
  <c r="G22" i="2"/>
  <c r="L21" i="2"/>
  <c r="F17" i="2"/>
  <c r="M17" i="2" s="1"/>
  <c r="O17" i="2" s="1"/>
  <c r="C18" i="2"/>
  <c r="L22" i="2" l="1"/>
  <c r="G23" i="2"/>
  <c r="L23" i="2" s="1"/>
  <c r="F18" i="2"/>
  <c r="M18" i="2" s="1"/>
  <c r="O18" i="2" s="1"/>
  <c r="C19" i="2"/>
  <c r="Q17" i="2"/>
  <c r="P17" i="2"/>
  <c r="O31" i="2"/>
  <c r="C31" i="2"/>
  <c r="R31" i="2" l="1"/>
  <c r="S31" i="2"/>
  <c r="S32" i="2" s="1"/>
  <c r="C20" i="2"/>
  <c r="F19" i="2"/>
  <c r="M19" i="2" s="1"/>
  <c r="O19" i="2" s="1"/>
  <c r="O32" i="2"/>
  <c r="R32" i="2" s="1"/>
  <c r="C32" i="2"/>
  <c r="Q18" i="2"/>
  <c r="P18" i="2"/>
  <c r="F31" i="2"/>
  <c r="P31" i="2"/>
  <c r="Q31" i="2" s="1"/>
  <c r="D31" i="2"/>
  <c r="I31" i="2"/>
  <c r="G31" i="2"/>
  <c r="L31" i="2" l="1"/>
  <c r="M31" i="2"/>
  <c r="C33" i="2"/>
  <c r="O33" i="2"/>
  <c r="R33" i="2" s="1"/>
  <c r="Q19" i="2"/>
  <c r="P19" i="2"/>
  <c r="J31" i="2"/>
  <c r="E31" i="2"/>
  <c r="C21" i="2"/>
  <c r="F20" i="2"/>
  <c r="M20" i="2" s="1"/>
  <c r="O20" i="2" s="1"/>
  <c r="Q32" i="2"/>
  <c r="T31" i="2"/>
  <c r="P32" i="2"/>
  <c r="D32" i="2"/>
  <c r="J32" i="2" s="1"/>
  <c r="I32" i="2"/>
  <c r="L32" i="2" s="1"/>
  <c r="F32" i="2"/>
  <c r="G32" i="2"/>
  <c r="T32" i="2" l="1"/>
  <c r="I33" i="2"/>
  <c r="L33" i="2" s="1"/>
  <c r="P33" i="2"/>
  <c r="Q33" i="2" s="1"/>
  <c r="D33" i="2"/>
  <c r="J33" i="2" s="1"/>
  <c r="F33" i="2"/>
  <c r="G33" i="2"/>
  <c r="P20" i="2"/>
  <c r="Q20" i="2"/>
  <c r="O34" i="2"/>
  <c r="R34" i="2" s="1"/>
  <c r="C34" i="2"/>
  <c r="M32" i="2"/>
  <c r="M33" i="2" s="1"/>
  <c r="K31" i="2"/>
  <c r="N31" i="2" s="1"/>
  <c r="E32" i="2"/>
  <c r="H31" i="2"/>
  <c r="S33" i="2"/>
  <c r="F21" i="2"/>
  <c r="M21" i="2" s="1"/>
  <c r="O21" i="2" s="1"/>
  <c r="C22" i="2"/>
  <c r="T33" i="2" l="1"/>
  <c r="O35" i="2"/>
  <c r="R35" i="2" s="1"/>
  <c r="C35" i="2"/>
  <c r="F22" i="2"/>
  <c r="M22" i="2" s="1"/>
  <c r="O22" i="2" s="1"/>
  <c r="C23" i="2"/>
  <c r="F23" i="2" s="1"/>
  <c r="F34" i="2"/>
  <c r="P34" i="2"/>
  <c r="Q34" i="2" s="1"/>
  <c r="D34" i="2"/>
  <c r="J34" i="2" s="1"/>
  <c r="I34" i="2"/>
  <c r="L34" i="2" s="1"/>
  <c r="G34" i="2"/>
  <c r="P21" i="2"/>
  <c r="Q21" i="2"/>
  <c r="E33" i="2"/>
  <c r="K32" i="2"/>
  <c r="N32" i="2" s="1"/>
  <c r="H32" i="2"/>
  <c r="S34" i="2"/>
  <c r="T34" i="2" l="1"/>
  <c r="I35" i="2"/>
  <c r="L35" i="2" s="1"/>
  <c r="F35" i="2"/>
  <c r="P35" i="2"/>
  <c r="Q35" i="2" s="1"/>
  <c r="D35" i="2"/>
  <c r="J35" i="2" s="1"/>
  <c r="E34" i="2"/>
  <c r="K33" i="2"/>
  <c r="N33" i="2" s="1"/>
  <c r="H33" i="2"/>
  <c r="Q41" i="2"/>
  <c r="Q42" i="2" s="1"/>
  <c r="M23" i="2"/>
  <c r="O23" i="2" s="1"/>
  <c r="M34" i="2"/>
  <c r="M35" i="2" s="1"/>
  <c r="S35" i="2"/>
  <c r="O36" i="2"/>
  <c r="R36" i="2" s="1"/>
  <c r="C36" i="2"/>
  <c r="Q22" i="2"/>
  <c r="D8" i="2" s="1"/>
  <c r="P22" i="2"/>
  <c r="G35" i="2"/>
  <c r="G36" i="2" s="1"/>
  <c r="T35" i="2" l="1"/>
  <c r="O37" i="2"/>
  <c r="R37" i="2" s="1"/>
  <c r="R46" i="2" s="1"/>
  <c r="C37" i="2"/>
  <c r="S36" i="2"/>
  <c r="S37" i="2" s="1"/>
  <c r="Q48" i="2"/>
  <c r="P36" i="2"/>
  <c r="Q36" i="2" s="1"/>
  <c r="D36" i="2"/>
  <c r="J36" i="2" s="1"/>
  <c r="F36" i="2"/>
  <c r="I36" i="2"/>
  <c r="L36" i="2" s="1"/>
  <c r="Q23" i="2"/>
  <c r="P23" i="2"/>
  <c r="E35" i="2"/>
  <c r="H34" i="2"/>
  <c r="K34" i="2"/>
  <c r="N34" i="2" s="1"/>
  <c r="G37" i="2"/>
  <c r="T36" i="2" l="1"/>
  <c r="C38" i="2"/>
  <c r="I38" i="2" s="1"/>
  <c r="K41" i="2" s="1"/>
  <c r="K42" i="2" s="1"/>
  <c r="O38" i="2"/>
  <c r="M36" i="2"/>
  <c r="M37" i="2" s="1"/>
  <c r="Q47" i="2"/>
  <c r="K35" i="2"/>
  <c r="N35" i="2" s="1"/>
  <c r="E36" i="2"/>
  <c r="H35" i="2"/>
  <c r="F46" i="2"/>
  <c r="I37" i="2"/>
  <c r="L37" i="2" s="1"/>
  <c r="P37" i="2"/>
  <c r="Q37" i="2" s="1"/>
  <c r="D37" i="2"/>
  <c r="J37" i="2" s="1"/>
  <c r="F37" i="2"/>
  <c r="Q40" i="2" l="1"/>
  <c r="Q43" i="2" s="1"/>
  <c r="T37" i="2"/>
  <c r="K48" i="2"/>
  <c r="K47" i="2"/>
  <c r="E37" i="2"/>
  <c r="K36" i="2"/>
  <c r="N36" i="2" s="1"/>
  <c r="H36" i="2"/>
  <c r="E47" i="2"/>
  <c r="E48" i="2"/>
  <c r="L46" i="2"/>
  <c r="K37" i="2" l="1"/>
  <c r="E40" i="2"/>
  <c r="E43" i="2" s="1"/>
  <c r="H37" i="2"/>
  <c r="Q49" i="2"/>
  <c r="Q46" i="2"/>
  <c r="E49" i="2" l="1"/>
  <c r="E46" i="2"/>
  <c r="K40" i="2"/>
  <c r="K43" i="2" s="1"/>
  <c r="N37" i="2"/>
  <c r="K46" i="2" l="1"/>
  <c r="K49" i="2"/>
</calcChain>
</file>

<file path=xl/sharedStrings.xml><?xml version="1.0" encoding="utf-8"?>
<sst xmlns="http://schemas.openxmlformats.org/spreadsheetml/2006/main" count="108" uniqueCount="75">
  <si>
    <t>Mira Drovana Enterprises, Ltd</t>
  </si>
  <si>
    <t>Corporate Jet Purchase Proforma</t>
  </si>
  <si>
    <t>Long term g</t>
  </si>
  <si>
    <t>Revenue Forecast</t>
  </si>
  <si>
    <t>Revenue Estimates (savings of executive time and airfare)</t>
  </si>
  <si>
    <t>Tax Rate</t>
  </si>
  <si>
    <t>Airfare</t>
  </si>
  <si>
    <t>Traveling Executives</t>
  </si>
  <si>
    <t>Annual Exec Wage</t>
  </si>
  <si>
    <t>Airfare savings</t>
  </si>
  <si>
    <t>Cost of Capital</t>
  </si>
  <si>
    <t>Executive Wages</t>
  </si>
  <si>
    <t>Trips per year</t>
  </si>
  <si>
    <t>Estimated wage per hour</t>
  </si>
  <si>
    <t>Time savings</t>
  </si>
  <si>
    <t>Average RONIC</t>
  </si>
  <si>
    <t>Travel time per trip</t>
  </si>
  <si>
    <t xml:space="preserve">Estimated Airfare per trip </t>
  </si>
  <si>
    <t>Time Share revenue</t>
  </si>
  <si>
    <t>Purchase Price</t>
  </si>
  <si>
    <t>Time Share revenue per hour</t>
  </si>
  <si>
    <t>Total estmimated savings (revenue)</t>
  </si>
  <si>
    <t>Depreciation Period</t>
  </si>
  <si>
    <t>Execs per trip</t>
  </si>
  <si>
    <t>Time share hours</t>
  </si>
  <si>
    <t>Resale Ratio (7 year)</t>
  </si>
  <si>
    <t>Flight hours</t>
  </si>
  <si>
    <t>Fuel Per Flight Hour</t>
  </si>
  <si>
    <t>Terminal Value</t>
  </si>
  <si>
    <t>Flight crew per trip</t>
  </si>
  <si>
    <t>Maintenance per hour</t>
  </si>
  <si>
    <t>Flight crew cost per trip</t>
  </si>
  <si>
    <t>Per Trip Airport fee</t>
  </si>
  <si>
    <t>Year</t>
  </si>
  <si>
    <t>Travel Expense Saved</t>
  </si>
  <si>
    <t>Travel Time Saved</t>
  </si>
  <si>
    <t>Time Share Revenue</t>
  </si>
  <si>
    <t>Total Revenue</t>
  </si>
  <si>
    <t>Fuel</t>
  </si>
  <si>
    <t>Maint</t>
  </si>
  <si>
    <t>Crew</t>
  </si>
  <si>
    <t>Airport Fees</t>
  </si>
  <si>
    <t>Dep</t>
  </si>
  <si>
    <t>Total Operating Expense</t>
  </si>
  <si>
    <t>Operating Income</t>
  </si>
  <si>
    <t>NOPAT</t>
  </si>
  <si>
    <t>Marginal Cash Flow</t>
  </si>
  <si>
    <t>RONIC</t>
  </si>
  <si>
    <t>Discounted Cash Flow Model (Asset Sale)</t>
  </si>
  <si>
    <t>Discounted Cash Flow Model (Continuing Value)</t>
  </si>
  <si>
    <t>FMM (EV/EBIT 2019 Target)</t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</si>
  <si>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DCF</t>
    </r>
  </si>
  <si>
    <r>
      <t>Total PV</t>
    </r>
    <r>
      <rPr>
        <b/>
        <vertAlign val="subscript"/>
        <sz val="11"/>
        <color rgb="FF008000"/>
        <rFont val="Calibri"/>
        <family val="2"/>
        <scheme val="minor"/>
      </rPr>
      <t>DCF</t>
    </r>
  </si>
  <si>
    <t>Cash Flows</t>
  </si>
  <si>
    <t>Payback</t>
  </si>
  <si>
    <t>Discounted Payback</t>
  </si>
  <si>
    <r>
      <t>PV</t>
    </r>
    <r>
      <rPr>
        <b/>
        <vertAlign val="subscript"/>
        <sz val="11"/>
        <color rgb="FF0000CC"/>
        <rFont val="Calibri"/>
        <family val="2"/>
        <scheme val="minor"/>
      </rPr>
      <t>DCF</t>
    </r>
  </si>
  <si>
    <r>
      <t>Total PV</t>
    </r>
    <r>
      <rPr>
        <b/>
        <vertAlign val="subscript"/>
        <sz val="11"/>
        <color rgb="FF0000CC"/>
        <rFont val="Calibri"/>
        <family val="2"/>
        <scheme val="minor"/>
      </rPr>
      <t>DCF</t>
    </r>
  </si>
  <si>
    <t>FCF</t>
  </si>
  <si>
    <t>Target Revenue Multiple</t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</si>
  <si>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</si>
  <si>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rgb="FF002060"/>
        <rFont val="Calibri"/>
        <family val="2"/>
        <scheme val="minor"/>
      </rPr>
      <t>CV</t>
    </r>
  </si>
  <si>
    <t>NPV</t>
  </si>
  <si>
    <t>IRR</t>
  </si>
  <si>
    <t>MIRR</t>
  </si>
  <si>
    <t>Profit Index</t>
  </si>
  <si>
    <t>NA</t>
  </si>
  <si>
    <r>
      <t>PV</t>
    </r>
    <r>
      <rPr>
        <b/>
        <vertAlign val="subscript"/>
        <sz val="11"/>
        <color rgb="FF008000"/>
        <rFont val="Calibri"/>
        <family val="2"/>
        <scheme val="minor"/>
      </rPr>
      <t>CV</t>
    </r>
  </si>
  <si>
    <t>VALUE</t>
  </si>
  <si>
    <t>Corp Jet Rev Multiple</t>
  </si>
  <si>
    <r>
      <t>PV</t>
    </r>
    <r>
      <rPr>
        <b/>
        <vertAlign val="subscript"/>
        <sz val="11"/>
        <color rgb="FF0000CC"/>
        <rFont val="Calibri"/>
        <family val="2"/>
        <scheme val="minor"/>
      </rPr>
      <t>CV</t>
    </r>
  </si>
  <si>
    <r>
      <t>CV</t>
    </r>
    <r>
      <rPr>
        <b/>
        <vertAlign val="subscript"/>
        <sz val="11"/>
        <color rgb="FF002060"/>
        <rFont val="Calibri"/>
        <family val="2"/>
        <scheme val="minor"/>
      </rPr>
      <t>REV</t>
    </r>
  </si>
  <si>
    <r>
      <t>Total PV</t>
    </r>
    <r>
      <rPr>
        <b/>
        <vertAlign val="subscript"/>
        <sz val="11"/>
        <color rgb="FF002060"/>
        <rFont val="Calibri"/>
        <family val="2"/>
        <scheme val="minor"/>
      </rPr>
      <t>DCF</t>
    </r>
  </si>
  <si>
    <t>New Invested Capital</t>
  </si>
  <si>
    <t>Growth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</si>
</sst>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00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bscript"/>
      <sz val="11"/>
      <color rgb="FF008000"/>
      <name val="Calibri"/>
      <family val="2"/>
      <scheme val="minor"/>
    </font>
    <font>
      <b/>
      <vertAlign val="subscript"/>
      <sz val="11"/>
      <color rgb="FF0000CC"/>
      <name val="Calibri"/>
      <family val="2"/>
      <scheme val="minor"/>
    </font>
    <font>
      <b/>
      <vertAlign val="subscript"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10" fontId="0" fillId="2" borderId="0" xfId="2" applyNumberFormat="1" applyFont="1" applyFill="1"/>
    <xf numFmtId="164" fontId="3" fillId="0" borderId="0" xfId="0" applyNumberFormat="1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5" fontId="0" fillId="2" borderId="0" xfId="1" applyNumberFormat="1" applyFont="1" applyFill="1"/>
    <xf numFmtId="0" fontId="0" fillId="0" borderId="0" xfId="0" applyAlignment="1">
      <alignment horizontal="center"/>
    </xf>
    <xf numFmtId="165" fontId="0" fillId="2" borderId="0" xfId="0" applyNumberFormat="1" applyFill="1"/>
    <xf numFmtId="164" fontId="0" fillId="0" borderId="0" xfId="0" applyNumberFormat="1" applyAlignment="1">
      <alignment horizontal="center"/>
    </xf>
    <xf numFmtId="10" fontId="0" fillId="2" borderId="0" xfId="2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65" fontId="0" fillId="0" borderId="0" xfId="1" applyNumberFormat="1" applyFont="1"/>
    <xf numFmtId="164" fontId="0" fillId="0" borderId="0" xfId="0" applyNumberFormat="1" applyAlignment="1">
      <alignment horizontal="right"/>
    </xf>
    <xf numFmtId="165" fontId="1" fillId="2" borderId="0" xfId="1" applyNumberFormat="1" applyFill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165" fontId="0" fillId="2" borderId="1" xfId="1" applyNumberFormat="1" applyFont="1" applyFill="1" applyBorder="1"/>
    <xf numFmtId="10" fontId="0" fillId="0" borderId="0" xfId="2" applyNumberFormat="1" applyFont="1"/>
    <xf numFmtId="9" fontId="0" fillId="2" borderId="0" xfId="0" applyNumberFormat="1" applyFill="1" applyAlignment="1">
      <alignment horizontal="right"/>
    </xf>
    <xf numFmtId="165" fontId="0" fillId="0" borderId="0" xfId="0" applyNumberFormat="1"/>
    <xf numFmtId="165" fontId="0" fillId="2" borderId="0" xfId="1" applyNumberFormat="1" applyFont="1" applyFill="1" applyAlignment="1">
      <alignment horizontal="right"/>
    </xf>
    <xf numFmtId="0" fontId="0" fillId="2" borderId="0" xfId="0" applyFill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165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67" fontId="0" fillId="0" borderId="0" xfId="0" applyNumberFormat="1"/>
    <xf numFmtId="2" fontId="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 vertical="center" wrapText="1"/>
    </xf>
    <xf numFmtId="10" fontId="0" fillId="2" borderId="0" xfId="2" applyNumberFormat="1" applyFont="1" applyFill="1" applyAlignment="1">
      <alignment horizontal="center" vertical="center" wrapText="1"/>
    </xf>
    <xf numFmtId="10" fontId="0" fillId="2" borderId="0" xfId="2" applyNumberFormat="1" applyFont="1" applyFill="1" applyAlignment="1">
      <alignment horizontal="center" vertical="center"/>
    </xf>
    <xf numFmtId="10" fontId="0" fillId="0" borderId="0" xfId="2" applyNumberFormat="1" applyFont="1" applyAlignment="1">
      <alignment horizontal="center" wrapText="1"/>
    </xf>
    <xf numFmtId="0" fontId="8" fillId="0" borderId="0" xfId="0" applyFont="1"/>
    <xf numFmtId="0" fontId="11" fillId="0" borderId="0" xfId="0" applyFont="1"/>
    <xf numFmtId="167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165" fontId="16" fillId="0" borderId="0" xfId="0" applyNumberFormat="1" applyFont="1" applyAlignment="1">
      <alignment horizontal="center" wrapText="1"/>
    </xf>
    <xf numFmtId="0" fontId="17" fillId="0" borderId="0" xfId="0" applyFont="1"/>
    <xf numFmtId="165" fontId="17" fillId="0" borderId="0" xfId="0" applyNumberFormat="1" applyFont="1"/>
    <xf numFmtId="165" fontId="18" fillId="0" borderId="0" xfId="0" applyNumberFormat="1" applyFont="1" applyAlignment="1">
      <alignment horizontal="center" wrapText="1"/>
    </xf>
    <xf numFmtId="165" fontId="16" fillId="0" borderId="0" xfId="1" applyNumberFormat="1" applyFont="1"/>
    <xf numFmtId="165" fontId="16" fillId="0" borderId="0" xfId="0" applyNumberFormat="1" applyFont="1"/>
    <xf numFmtId="165" fontId="18" fillId="0" borderId="0" xfId="1" applyNumberFormat="1" applyFont="1" applyAlignment="1">
      <alignment horizontal="center"/>
    </xf>
    <xf numFmtId="165" fontId="18" fillId="0" borderId="0" xfId="1" applyNumberFormat="1" applyFont="1"/>
    <xf numFmtId="165" fontId="18" fillId="0" borderId="0" xfId="0" applyNumberFormat="1" applyFont="1"/>
    <xf numFmtId="0" fontId="16" fillId="0" borderId="0" xfId="0" applyFont="1"/>
    <xf numFmtId="0" fontId="18" fillId="0" borderId="0" xfId="0" applyFont="1"/>
    <xf numFmtId="167" fontId="2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5" fontId="16" fillId="0" borderId="0" xfId="1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5" fontId="18" fillId="0" borderId="0" xfId="1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43" fontId="17" fillId="0" borderId="0" xfId="0" applyNumberFormat="1" applyFont="1"/>
    <xf numFmtId="167" fontId="6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9" fillId="0" borderId="0" xfId="0" applyFont="1"/>
    <xf numFmtId="10" fontId="16" fillId="0" borderId="0" xfId="2" applyNumberFormat="1" applyFont="1"/>
    <xf numFmtId="10" fontId="17" fillId="0" borderId="0" xfId="2" applyNumberFormat="1" applyFont="1"/>
    <xf numFmtId="10" fontId="18" fillId="0" borderId="0" xfId="2" applyNumberFormat="1" applyFont="1"/>
    <xf numFmtId="2" fontId="16" fillId="0" borderId="0" xfId="0" applyNumberFormat="1" applyFont="1"/>
    <xf numFmtId="2" fontId="17" fillId="0" borderId="0" xfId="0" applyNumberFormat="1" applyFont="1"/>
    <xf numFmtId="2" fontId="11" fillId="0" borderId="0" xfId="0" applyNumberFormat="1" applyFont="1" applyAlignment="1">
      <alignment horizontal="right"/>
    </xf>
    <xf numFmtId="2" fontId="18" fillId="0" borderId="0" xfId="0" applyNumberFormat="1" applyFont="1"/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3" fontId="0" fillId="2" borderId="0" xfId="1" applyFont="1" applyFill="1" applyAlignment="1">
      <alignment horizontal="right"/>
    </xf>
    <xf numFmtId="165" fontId="1" fillId="2" borderId="0" xfId="1" applyNumberFormat="1" applyFill="1" applyAlignment="1">
      <alignment horizontal="right"/>
    </xf>
    <xf numFmtId="9" fontId="0" fillId="2" borderId="0" xfId="2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7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0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2" fontId="18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A3E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361950</xdr:colOff>
      <xdr:row>0</xdr:row>
      <xdr:rowOff>104775</xdr:rowOff>
    </xdr:from>
    <xdr:ext cx="4591898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E98428-FDA9-4A1E-8EF4-B5BF09E2329E}"/>
            </a:ext>
          </a:extLst>
        </xdr:cNvPr>
        <xdr:cNvSpPr txBox="1"/>
      </xdr:nvSpPr>
      <xdr:spPr>
        <a:xfrm>
          <a:off x="8915400" y="104775"/>
          <a:ext cx="4591898" cy="6090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The</a:t>
          </a:r>
          <a:r>
            <a:rPr lang="en-US" sz="1100" b="1" baseline="0"/>
            <a:t> shaded areas require original input while all other areas are formulaic. </a:t>
          </a:r>
        </a:p>
        <a:p>
          <a:r>
            <a:rPr lang="en-US" sz="1100" b="1" baseline="0"/>
            <a:t>The revenue and expense estimates, along with the forecasted revenues</a:t>
          </a:r>
        </a:p>
        <a:p>
          <a:r>
            <a:rPr lang="en-US" sz="1100" b="1" baseline="0"/>
            <a:t>and operating expenses must be customized to fit subject project.</a:t>
          </a:r>
          <a:endParaRPr lang="en-US" sz="1100" b="1"/>
        </a:p>
      </xdr:txBody>
    </xdr:sp>
    <xdr:clientData/>
  </xdr:oneCellAnchor>
  <xdr:oneCellAnchor>
    <xdr:from>
      <xdr:col>6</xdr:col>
      <xdr:colOff>114300</xdr:colOff>
      <xdr:row>52</xdr:row>
      <xdr:rowOff>9525</xdr:rowOff>
    </xdr:from>
    <xdr:ext cx="8233834" cy="10160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D6A7D1-4A8F-4E3F-B32A-647240862B63}"/>
            </a:ext>
          </a:extLst>
        </xdr:cNvPr>
        <xdr:cNvSpPr txBox="1"/>
      </xdr:nvSpPr>
      <xdr:spPr>
        <a:xfrm>
          <a:off x="4448175" y="11001375"/>
          <a:ext cx="8233834" cy="101600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100">
              <a:solidFill>
                <a:srgbClr val="0000CC"/>
              </a:solidFill>
            </a:rPr>
            <a:t>Given the wide</a:t>
          </a:r>
          <a:r>
            <a:rPr lang="en-US" sz="1100" baseline="0">
              <a:solidFill>
                <a:srgbClr val="0000CC"/>
              </a:solidFill>
            </a:rPr>
            <a:t> disparity between values estimated by the three models, which disparity is focused on the DCF Model using a</a:t>
          </a:r>
        </a:p>
        <a:p>
          <a:r>
            <a:rPr lang="en-US" sz="1100" baseline="0">
              <a:solidFill>
                <a:srgbClr val="0000CC"/>
              </a:solidFill>
            </a:rPr>
            <a:t>"continuing value" in the form of a Gordon Growth Model, we would reject that model's outcome.  The other two models are well</a:t>
          </a:r>
        </a:p>
        <a:p>
          <a:r>
            <a:rPr lang="en-US" sz="1100" baseline="0">
              <a:solidFill>
                <a:srgbClr val="0000CC"/>
              </a:solidFill>
            </a:rPr>
            <a:t>aligned in both outcome and the use of a market metric, in this case a multiple of some form to determine the value of the asset at</a:t>
          </a:r>
        </a:p>
        <a:p>
          <a:r>
            <a:rPr lang="en-US" sz="1100" baseline="0">
              <a:solidFill>
                <a:srgbClr val="0000CC"/>
              </a:solidFill>
            </a:rPr>
            <a:t>a point in time.  This make sense from a structural standpoint as the DCF with a continuing value supposes the value of a tangible asset,</a:t>
          </a:r>
        </a:p>
        <a:p>
          <a:r>
            <a:rPr lang="en-US" sz="1100" baseline="0">
              <a:solidFill>
                <a:srgbClr val="0000CC"/>
              </a:solidFill>
            </a:rPr>
            <a:t>the jet, increases over time, but that's not likely since the asset is depreciating in value as a result of time, use, and technological obsolesence.</a:t>
          </a:r>
        </a:p>
        <a:p>
          <a:endParaRPr lang="en-US" sz="1100"/>
        </a:p>
      </xdr:txBody>
    </xdr:sp>
    <xdr:clientData/>
  </xdr:oneCellAnchor>
  <xdr:oneCellAnchor>
    <xdr:from>
      <xdr:col>17</xdr:col>
      <xdr:colOff>200025</xdr:colOff>
      <xdr:row>14</xdr:row>
      <xdr:rowOff>409575</xdr:rowOff>
    </xdr:from>
    <xdr:ext cx="3901261" cy="12979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FDB7EE-E152-41B8-8E45-A951F45DDB40}"/>
            </a:ext>
          </a:extLst>
        </xdr:cNvPr>
        <xdr:cNvSpPr txBox="1"/>
      </xdr:nvSpPr>
      <xdr:spPr>
        <a:xfrm>
          <a:off x="13677900" y="3076575"/>
          <a:ext cx="3901261" cy="129791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008A3E"/>
              </a:solidFill>
            </a:rPr>
            <a:t>Notice the change in RONIC (return on new invested capital).</a:t>
          </a:r>
        </a:p>
        <a:p>
          <a:r>
            <a:rPr lang="en-US" sz="1100">
              <a:solidFill>
                <a:srgbClr val="008A3E"/>
              </a:solidFill>
            </a:rPr>
            <a:t>Since New Invested</a:t>
          </a:r>
          <a:r>
            <a:rPr lang="en-US" sz="1100" baseline="0">
              <a:solidFill>
                <a:srgbClr val="008A3E"/>
              </a:solidFill>
            </a:rPr>
            <a:t> Capital is constant while operataing income</a:t>
          </a:r>
        </a:p>
        <a:p>
          <a:r>
            <a:rPr lang="en-US" sz="1100" baseline="0">
              <a:solidFill>
                <a:srgbClr val="008A3E"/>
              </a:solidFill>
            </a:rPr>
            <a:t>changes we're seeing changing returns to scale, in this case it's</a:t>
          </a:r>
        </a:p>
        <a:p>
          <a:r>
            <a:rPr lang="en-US" sz="1100" baseline="0">
              <a:solidFill>
                <a:srgbClr val="008A3E"/>
              </a:solidFill>
            </a:rPr>
            <a:t>increasing.  The average RONIC is low and if we thought of this </a:t>
          </a:r>
        </a:p>
        <a:p>
          <a:r>
            <a:rPr lang="en-US" sz="1100" baseline="0">
              <a:solidFill>
                <a:srgbClr val="008A3E"/>
              </a:solidFill>
            </a:rPr>
            <a:t>from the perspective of the ROIC vs WACC relation, we might be </a:t>
          </a:r>
        </a:p>
        <a:p>
          <a:r>
            <a:rPr lang="en-US" sz="1100" baseline="0">
              <a:solidFill>
                <a:srgbClr val="008A3E"/>
              </a:solidFill>
            </a:rPr>
            <a:t>concerned, but in this case there's a positive NPV, so our </a:t>
          </a:r>
        </a:p>
        <a:p>
          <a:r>
            <a:rPr lang="en-US" sz="1100" baseline="0">
              <a:solidFill>
                <a:srgbClr val="008A3E"/>
              </a:solidFill>
            </a:rPr>
            <a:t>concerns may be eleviated.</a:t>
          </a:r>
          <a:r>
            <a:rPr lang="en-US" sz="1100">
              <a:solidFill>
                <a:srgbClr val="008A3E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F148-FF46-4274-B3C6-D30A420F7688}">
  <dimension ref="A1:AB51"/>
  <sheetViews>
    <sheetView tabSelected="1" topLeftCell="A19" zoomScaleNormal="100" workbookViewId="0">
      <selection activeCell="A45" sqref="A45"/>
    </sheetView>
  </sheetViews>
  <sheetFormatPr defaultRowHeight="15" x14ac:dyDescent="0.25"/>
  <cols>
    <col min="3" max="3" width="11.140625" customWidth="1"/>
    <col min="4" max="4" width="11.5703125" bestFit="1" customWidth="1"/>
    <col min="5" max="5" width="13.28515625" bestFit="1" customWidth="1"/>
    <col min="6" max="6" width="10.7109375" customWidth="1"/>
    <col min="7" max="7" width="12" customWidth="1"/>
    <col min="8" max="8" width="12.28515625" customWidth="1"/>
    <col min="9" max="9" width="12.7109375" customWidth="1"/>
    <col min="10" max="10" width="10.28515625" customWidth="1"/>
    <col min="11" max="11" width="16" customWidth="1"/>
    <col min="12" max="12" width="11.5703125" customWidth="1"/>
    <col min="13" max="13" width="14.28515625" bestFit="1" customWidth="1"/>
    <col min="14" max="14" width="11.140625" customWidth="1"/>
    <col min="15" max="15" width="14.28515625" bestFit="1" customWidth="1"/>
    <col min="16" max="16" width="11.5703125" bestFit="1" customWidth="1"/>
    <col min="17" max="17" width="11" customWidth="1"/>
    <col min="18" max="19" width="12.7109375" customWidth="1"/>
    <col min="20" max="20" width="12" customWidth="1"/>
    <col min="21" max="23" width="12.7109375" customWidth="1"/>
    <col min="24" max="24" width="4.7109375" customWidth="1"/>
    <col min="25" max="26" width="10.5703125" customWidth="1"/>
  </cols>
  <sheetData>
    <row r="1" spans="1:26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  <c r="U1" s="1"/>
      <c r="V1" s="1"/>
      <c r="W1" s="1"/>
      <c r="X1" s="1"/>
      <c r="Y1" s="1"/>
      <c r="Z1" s="1"/>
    </row>
    <row r="2" spans="1:26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"/>
      <c r="T2" s="1"/>
      <c r="U2" s="1"/>
      <c r="V2" s="1"/>
      <c r="W2" s="1"/>
      <c r="X2" s="1"/>
      <c r="Y2" s="1"/>
      <c r="Z2" s="1"/>
    </row>
    <row r="3" spans="1:26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"/>
      <c r="T3" s="1"/>
      <c r="U3" s="1"/>
      <c r="V3" s="1"/>
      <c r="W3" s="1"/>
      <c r="X3" s="1"/>
      <c r="Y3" s="1"/>
      <c r="Z3" s="1"/>
    </row>
    <row r="4" spans="1:26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x14ac:dyDescent="0.25">
      <c r="A5" s="103" t="s">
        <v>2</v>
      </c>
      <c r="B5" s="100"/>
      <c r="C5" s="100"/>
      <c r="D5" s="2">
        <v>2.5000000000000001E-2</v>
      </c>
      <c r="F5" s="102" t="s">
        <v>3</v>
      </c>
      <c r="G5" s="102"/>
      <c r="I5" s="102" t="s">
        <v>4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W5" s="92"/>
    </row>
    <row r="6" spans="1:26" x14ac:dyDescent="0.25">
      <c r="A6" s="100" t="s">
        <v>5</v>
      </c>
      <c r="B6" s="100"/>
      <c r="C6" s="100"/>
      <c r="D6" s="2">
        <v>0.26</v>
      </c>
      <c r="F6" s="3" t="s">
        <v>6</v>
      </c>
      <c r="G6" s="10">
        <v>0.04</v>
      </c>
      <c r="H6" s="91"/>
      <c r="I6" t="s">
        <v>7</v>
      </c>
      <c r="K6" s="4">
        <v>15</v>
      </c>
      <c r="L6" s="92"/>
      <c r="N6" s="5" t="s">
        <v>8</v>
      </c>
      <c r="O6" s="6">
        <v>250000</v>
      </c>
      <c r="P6" s="92"/>
      <c r="Q6" s="7"/>
      <c r="S6" s="5" t="s">
        <v>9</v>
      </c>
      <c r="T6" s="8">
        <f>K6*K7*O8</f>
        <v>864000</v>
      </c>
      <c r="W6" s="9"/>
    </row>
    <row r="7" spans="1:26" x14ac:dyDescent="0.25">
      <c r="A7" s="100" t="s">
        <v>10</v>
      </c>
      <c r="B7" s="100"/>
      <c r="C7" s="100"/>
      <c r="D7" s="10">
        <v>0.06</v>
      </c>
      <c r="F7" s="91" t="s">
        <v>11</v>
      </c>
      <c r="G7" s="10">
        <v>0.1</v>
      </c>
      <c r="I7" t="s">
        <v>12</v>
      </c>
      <c r="K7" s="11">
        <v>48</v>
      </c>
      <c r="N7" s="5" t="s">
        <v>13</v>
      </c>
      <c r="O7" s="12">
        <f>O6/52/40</f>
        <v>120.19230769230769</v>
      </c>
      <c r="P7" s="7"/>
      <c r="Q7" s="7"/>
      <c r="S7" s="13" t="s">
        <v>14</v>
      </c>
      <c r="T7" s="14">
        <f>K6*K7*K8*K9*O7</f>
        <v>155769.23076923078</v>
      </c>
      <c r="W7" s="7"/>
    </row>
    <row r="8" spans="1:26" x14ac:dyDescent="0.25">
      <c r="A8" s="100" t="s">
        <v>15</v>
      </c>
      <c r="B8" s="100"/>
      <c r="C8" s="100"/>
      <c r="D8" s="15">
        <f>AVERAGE(Q16:Q22)</f>
        <v>1.8663815678443764E-3</v>
      </c>
      <c r="E8" s="16"/>
      <c r="F8" s="91" t="s">
        <v>36</v>
      </c>
      <c r="G8" s="10">
        <v>0.05</v>
      </c>
      <c r="H8" s="3"/>
      <c r="I8" t="s">
        <v>16</v>
      </c>
      <c r="K8" s="4">
        <v>6</v>
      </c>
      <c r="L8" s="7"/>
      <c r="N8" s="5" t="s">
        <v>17</v>
      </c>
      <c r="O8" s="6">
        <v>1200</v>
      </c>
      <c r="P8" s="7"/>
      <c r="Q8" s="7"/>
      <c r="S8" s="5" t="s">
        <v>18</v>
      </c>
      <c r="T8" s="18">
        <f>O10*O9</f>
        <v>1800000</v>
      </c>
      <c r="W8" s="7"/>
    </row>
    <row r="9" spans="1:26" x14ac:dyDescent="0.25">
      <c r="C9" s="91"/>
      <c r="D9" s="19"/>
      <c r="F9" s="91" t="s">
        <v>69</v>
      </c>
      <c r="G9" s="88">
        <v>0.75</v>
      </c>
      <c r="H9" s="3"/>
      <c r="I9" t="s">
        <v>14</v>
      </c>
      <c r="K9" s="20">
        <v>0.3</v>
      </c>
      <c r="L9" s="7"/>
      <c r="M9" s="7"/>
      <c r="N9" s="5" t="s">
        <v>20</v>
      </c>
      <c r="O9" s="6">
        <v>1500</v>
      </c>
      <c r="P9" s="7"/>
      <c r="Q9" s="7"/>
      <c r="S9" s="5" t="s">
        <v>21</v>
      </c>
      <c r="T9" s="21">
        <f>SUM(T6:T8)</f>
        <v>2819769.230769231</v>
      </c>
      <c r="W9" s="92"/>
    </row>
    <row r="10" spans="1:26" x14ac:dyDescent="0.25">
      <c r="C10" s="91"/>
      <c r="D10" s="15"/>
      <c r="F10" s="91" t="s">
        <v>19</v>
      </c>
      <c r="G10" s="89">
        <v>7500000</v>
      </c>
      <c r="H10" s="3"/>
      <c r="I10" t="s">
        <v>23</v>
      </c>
      <c r="K10" s="23">
        <v>3</v>
      </c>
      <c r="L10" s="92"/>
      <c r="M10" s="92"/>
      <c r="N10" s="5" t="s">
        <v>24</v>
      </c>
      <c r="O10" s="6">
        <v>1200</v>
      </c>
      <c r="Q10" s="92"/>
      <c r="W10" s="92"/>
    </row>
    <row r="11" spans="1:26" x14ac:dyDescent="0.25">
      <c r="A11" s="5"/>
      <c r="B11" s="5"/>
      <c r="C11" s="5"/>
      <c r="F11" s="91" t="s">
        <v>22</v>
      </c>
      <c r="G11" s="22">
        <v>7</v>
      </c>
      <c r="I11" t="s">
        <v>26</v>
      </c>
      <c r="K11" s="12">
        <f>K6/K10*K7*K8*(1-K9)</f>
        <v>1007.9999999999999</v>
      </c>
      <c r="N11" s="5" t="s">
        <v>27</v>
      </c>
      <c r="O11" s="22">
        <v>1000</v>
      </c>
      <c r="P11" s="24"/>
      <c r="Q11" s="9"/>
      <c r="R11" s="9"/>
      <c r="S11" s="9"/>
      <c r="U11" s="9"/>
      <c r="V11" s="9"/>
      <c r="W11" s="9"/>
    </row>
    <row r="12" spans="1:26" x14ac:dyDescent="0.25">
      <c r="A12" s="5"/>
      <c r="B12" s="5"/>
      <c r="C12" s="5"/>
      <c r="F12" s="91" t="s">
        <v>25</v>
      </c>
      <c r="G12" s="90">
        <v>0.4</v>
      </c>
      <c r="I12" t="s">
        <v>29</v>
      </c>
      <c r="K12" s="4">
        <v>3</v>
      </c>
      <c r="M12" s="9"/>
      <c r="N12" s="13" t="s">
        <v>30</v>
      </c>
      <c r="O12" s="6">
        <v>600</v>
      </c>
      <c r="P12" s="24"/>
      <c r="Q12" s="9"/>
      <c r="R12" s="9"/>
      <c r="S12" s="9"/>
      <c r="U12" s="9"/>
      <c r="V12" s="9"/>
      <c r="W12" s="9"/>
    </row>
    <row r="13" spans="1:26" x14ac:dyDescent="0.25">
      <c r="A13" s="5"/>
      <c r="B13" s="5"/>
      <c r="C13" s="5"/>
      <c r="F13" s="91" t="s">
        <v>28</v>
      </c>
      <c r="G13" s="21">
        <f>G10*G12</f>
        <v>3000000</v>
      </c>
      <c r="I13" t="s">
        <v>31</v>
      </c>
      <c r="K13" s="6">
        <v>1500</v>
      </c>
      <c r="M13" s="9"/>
      <c r="N13" s="25" t="s">
        <v>32</v>
      </c>
      <c r="O13" s="6">
        <v>300</v>
      </c>
      <c r="P13" s="24"/>
      <c r="Q13" s="9"/>
      <c r="R13" s="9"/>
      <c r="S13" s="9"/>
      <c r="U13" s="9"/>
      <c r="V13" s="9"/>
      <c r="W13" s="9"/>
    </row>
    <row r="14" spans="1:26" x14ac:dyDescent="0.25">
      <c r="A14" s="5"/>
      <c r="B14" s="5"/>
      <c r="C14" s="5"/>
      <c r="M14" s="9"/>
      <c r="N14" s="9"/>
      <c r="P14" s="24"/>
      <c r="Q14" s="9"/>
      <c r="R14" s="9"/>
      <c r="S14" s="9"/>
      <c r="U14" s="9"/>
      <c r="V14" s="9"/>
      <c r="W14" s="9"/>
    </row>
    <row r="15" spans="1:26" ht="45" x14ac:dyDescent="0.25">
      <c r="B15" s="26" t="s">
        <v>33</v>
      </c>
      <c r="C15" s="26" t="s">
        <v>34</v>
      </c>
      <c r="D15" s="26" t="s">
        <v>35</v>
      </c>
      <c r="E15" s="26" t="s">
        <v>36</v>
      </c>
      <c r="F15" s="26" t="s">
        <v>37</v>
      </c>
      <c r="G15" s="26" t="s">
        <v>38</v>
      </c>
      <c r="H15" s="26" t="s">
        <v>39</v>
      </c>
      <c r="I15" s="26" t="s">
        <v>40</v>
      </c>
      <c r="J15" s="26" t="s">
        <v>41</v>
      </c>
      <c r="K15" s="26" t="s">
        <v>42</v>
      </c>
      <c r="L15" s="26" t="s">
        <v>43</v>
      </c>
      <c r="M15" s="26" t="s">
        <v>44</v>
      </c>
      <c r="N15" s="26" t="s">
        <v>73</v>
      </c>
      <c r="O15" s="26" t="s">
        <v>45</v>
      </c>
      <c r="P15" s="27" t="s">
        <v>46</v>
      </c>
      <c r="Q15" s="26" t="s">
        <v>47</v>
      </c>
      <c r="R15" s="26"/>
      <c r="S15" s="26"/>
      <c r="T15" s="26"/>
      <c r="X15" s="28"/>
    </row>
    <row r="16" spans="1:26" x14ac:dyDescent="0.25">
      <c r="A16">
        <v>1</v>
      </c>
      <c r="B16" s="29">
        <v>2020</v>
      </c>
      <c r="C16" s="30">
        <f>T6</f>
        <v>864000</v>
      </c>
      <c r="D16" s="30">
        <f>T7</f>
        <v>155769.23076923078</v>
      </c>
      <c r="E16" s="12">
        <f>T8</f>
        <v>1800000</v>
      </c>
      <c r="F16" s="21">
        <f>SUM(C16:E16)</f>
        <v>2819769.230769231</v>
      </c>
      <c r="G16" s="30">
        <f>K6/K10*K7*K8*(1-K9)*O11</f>
        <v>1007999.9999999999</v>
      </c>
      <c r="H16" s="12">
        <f>K6/K10*K7*K8*(1-K9)*O12</f>
        <v>604799.99999999988</v>
      </c>
      <c r="I16" s="12">
        <f>K6/K10*K7*K13</f>
        <v>360000</v>
      </c>
      <c r="J16" s="21">
        <f>K6/K10*K7*11</f>
        <v>2640</v>
      </c>
      <c r="K16" s="30">
        <f t="shared" ref="K16:K23" si="0">$G$10/$G$11</f>
        <v>1071428.5714285714</v>
      </c>
      <c r="L16" s="21">
        <f>SUM(G16:K16)</f>
        <v>3046868.5714285709</v>
      </c>
      <c r="M16" s="31">
        <f>F16-L16</f>
        <v>-227099.34065933991</v>
      </c>
      <c r="N16" s="30">
        <f t="shared" ref="N16:N23" si="1">$G$10</f>
        <v>7500000</v>
      </c>
      <c r="O16" s="30">
        <f>M16*(1-$D$6)</f>
        <v>-168053.51208791154</v>
      </c>
      <c r="P16" s="30">
        <f t="shared" ref="P16:P23" si="2">O16+K16</f>
        <v>903375.05934065976</v>
      </c>
      <c r="Q16" s="32">
        <f>O16/N16</f>
        <v>-2.2407134945054873E-2</v>
      </c>
      <c r="R16" s="31"/>
      <c r="S16" s="31"/>
      <c r="T16" s="31"/>
      <c r="W16" s="33"/>
      <c r="X16" s="34"/>
      <c r="Y16" s="35"/>
      <c r="Z16" s="35"/>
    </row>
    <row r="17" spans="1:28" x14ac:dyDescent="0.25">
      <c r="A17">
        <f>A16+1</f>
        <v>2</v>
      </c>
      <c r="B17" s="29">
        <f>B16+1</f>
        <v>2021</v>
      </c>
      <c r="C17" s="30">
        <f>C16*(1+$C$25)</f>
        <v>898560</v>
      </c>
      <c r="D17" s="30">
        <f t="shared" ref="D17:D23" si="3">D16*(1+$D$25)</f>
        <v>171346.15384615387</v>
      </c>
      <c r="E17" s="12">
        <f t="shared" ref="E17:E23" si="4">E16*(1+$E$25)</f>
        <v>1890000</v>
      </c>
      <c r="F17" s="21">
        <f t="shared" ref="F17:F23" si="5">SUM(C17:E17)</f>
        <v>2959906.153846154</v>
      </c>
      <c r="G17" s="30">
        <f t="shared" ref="G17:G23" si="6">G16*(1+$G$25)</f>
        <v>1038239.9999999999</v>
      </c>
      <c r="H17" s="30">
        <f t="shared" ref="H17:H23" si="7">H16*(1+$H$25)</f>
        <v>622943.99999999988</v>
      </c>
      <c r="I17" s="30">
        <f t="shared" ref="I17:I23" si="8">I16*(1+$I$25)</f>
        <v>378000</v>
      </c>
      <c r="J17" s="21">
        <f t="shared" ref="J17:J23" si="9">J16*(1+$J$25)</f>
        <v>2719.2000000000003</v>
      </c>
      <c r="K17" s="30">
        <f t="shared" si="0"/>
        <v>1071428.5714285714</v>
      </c>
      <c r="L17" s="21">
        <f t="shared" ref="L17:L22" si="10">SUM(G17:K17)</f>
        <v>3113331.7714285711</v>
      </c>
      <c r="M17" s="31">
        <f t="shared" ref="M17:M23" si="11">F17-L17</f>
        <v>-153425.61758241709</v>
      </c>
      <c r="N17" s="30">
        <f t="shared" si="1"/>
        <v>7500000</v>
      </c>
      <c r="O17" s="30">
        <f t="shared" ref="O17:O23" si="12">M17*(1-$D$6)</f>
        <v>-113534.95701098864</v>
      </c>
      <c r="P17" s="30">
        <f t="shared" si="2"/>
        <v>957893.61441758275</v>
      </c>
      <c r="Q17" s="32">
        <f t="shared" ref="Q17:Q23" si="13">O17/N17</f>
        <v>-1.5137994268131819E-2</v>
      </c>
      <c r="R17" s="31"/>
      <c r="S17" s="31"/>
      <c r="T17" s="31"/>
      <c r="X17" s="95"/>
      <c r="Z17" s="36"/>
      <c r="AB17" s="36"/>
    </row>
    <row r="18" spans="1:28" x14ac:dyDescent="0.25">
      <c r="A18">
        <f t="shared" ref="A18:B23" si="14">A17+1</f>
        <v>3</v>
      </c>
      <c r="B18" s="29">
        <f t="shared" si="14"/>
        <v>2022</v>
      </c>
      <c r="C18" s="30">
        <f>C17*(1+$C$25)</f>
        <v>934502.40000000002</v>
      </c>
      <c r="D18" s="30">
        <f t="shared" si="3"/>
        <v>188480.76923076928</v>
      </c>
      <c r="E18" s="12">
        <f t="shared" si="4"/>
        <v>1984500</v>
      </c>
      <c r="F18" s="21">
        <f t="shared" si="5"/>
        <v>3107483.1692307694</v>
      </c>
      <c r="G18" s="30">
        <f t="shared" si="6"/>
        <v>1069387.2</v>
      </c>
      <c r="H18" s="30">
        <f t="shared" si="7"/>
        <v>641632.31999999995</v>
      </c>
      <c r="I18" s="30">
        <f t="shared" si="8"/>
        <v>396900</v>
      </c>
      <c r="J18" s="21">
        <f t="shared" si="9"/>
        <v>2800.7760000000003</v>
      </c>
      <c r="K18" s="30">
        <f t="shared" si="0"/>
        <v>1071428.5714285714</v>
      </c>
      <c r="L18" s="21">
        <f t="shared" si="10"/>
        <v>3182148.8674285715</v>
      </c>
      <c r="M18" s="31">
        <f t="shared" si="11"/>
        <v>-74665.698197802063</v>
      </c>
      <c r="N18" s="30">
        <f t="shared" si="1"/>
        <v>7500000</v>
      </c>
      <c r="O18" s="30">
        <f t="shared" si="12"/>
        <v>-55252.616666373528</v>
      </c>
      <c r="P18" s="30">
        <f t="shared" si="2"/>
        <v>1016175.9547621978</v>
      </c>
      <c r="Q18" s="32">
        <f t="shared" si="13"/>
        <v>-7.3670155555164707E-3</v>
      </c>
      <c r="R18" s="31"/>
      <c r="S18" s="31"/>
      <c r="T18" s="31"/>
      <c r="X18" s="95"/>
      <c r="Z18" s="36"/>
      <c r="AB18" s="36"/>
    </row>
    <row r="19" spans="1:28" x14ac:dyDescent="0.25">
      <c r="A19">
        <f t="shared" si="14"/>
        <v>4</v>
      </c>
      <c r="B19" s="29">
        <f t="shared" si="14"/>
        <v>2023</v>
      </c>
      <c r="C19" s="30">
        <f>C18*(1+$C$25)</f>
        <v>971882.49600000004</v>
      </c>
      <c r="D19" s="30">
        <f t="shared" si="3"/>
        <v>207328.84615384621</v>
      </c>
      <c r="E19" s="12">
        <f t="shared" si="4"/>
        <v>2083725</v>
      </c>
      <c r="F19" s="21">
        <f t="shared" si="5"/>
        <v>3262936.3421538463</v>
      </c>
      <c r="G19" s="30">
        <f t="shared" si="6"/>
        <v>1101468.8159999999</v>
      </c>
      <c r="H19" s="30">
        <f t="shared" si="7"/>
        <v>660881.28960000002</v>
      </c>
      <c r="I19" s="30">
        <f t="shared" si="8"/>
        <v>416745</v>
      </c>
      <c r="J19" s="21">
        <f t="shared" si="9"/>
        <v>2884.7992800000002</v>
      </c>
      <c r="K19" s="30">
        <f t="shared" si="0"/>
        <v>1071428.5714285714</v>
      </c>
      <c r="L19" s="21">
        <f t="shared" si="10"/>
        <v>3253408.4763085712</v>
      </c>
      <c r="M19" s="31">
        <f t="shared" si="11"/>
        <v>9527.8658452751115</v>
      </c>
      <c r="N19" s="30">
        <f t="shared" si="1"/>
        <v>7500000</v>
      </c>
      <c r="O19" s="30">
        <f t="shared" si="12"/>
        <v>7050.6207255035824</v>
      </c>
      <c r="P19" s="30">
        <f t="shared" si="2"/>
        <v>1078479.192154075</v>
      </c>
      <c r="Q19" s="32">
        <f t="shared" si="13"/>
        <v>9.4008276340047767E-4</v>
      </c>
      <c r="R19" s="31"/>
      <c r="S19" s="31"/>
      <c r="T19" s="31"/>
      <c r="X19" s="95"/>
      <c r="Z19" s="36"/>
      <c r="AB19" s="36"/>
    </row>
    <row r="20" spans="1:28" x14ac:dyDescent="0.25">
      <c r="A20">
        <f t="shared" si="14"/>
        <v>5</v>
      </c>
      <c r="B20" s="29">
        <f t="shared" si="14"/>
        <v>2024</v>
      </c>
      <c r="C20" s="30">
        <f>C19*(1+$C$25)</f>
        <v>1010757.79584</v>
      </c>
      <c r="D20" s="30">
        <f t="shared" si="3"/>
        <v>228061.73076923087</v>
      </c>
      <c r="E20" s="12">
        <f t="shared" si="4"/>
        <v>2187911.25</v>
      </c>
      <c r="F20" s="21">
        <f t="shared" si="5"/>
        <v>3426730.7766092308</v>
      </c>
      <c r="G20" s="30">
        <f t="shared" si="6"/>
        <v>1134512.8804799998</v>
      </c>
      <c r="H20" s="30">
        <f t="shared" si="7"/>
        <v>680707.72828799998</v>
      </c>
      <c r="I20" s="30">
        <f t="shared" si="8"/>
        <v>437582.25</v>
      </c>
      <c r="J20" s="21">
        <f t="shared" si="9"/>
        <v>2971.3432584000002</v>
      </c>
      <c r="K20" s="30">
        <f t="shared" si="0"/>
        <v>1071428.5714285714</v>
      </c>
      <c r="L20" s="21">
        <f t="shared" si="10"/>
        <v>3327202.7734549711</v>
      </c>
      <c r="M20" s="31">
        <f t="shared" si="11"/>
        <v>99528.003154259641</v>
      </c>
      <c r="N20" s="30">
        <f t="shared" si="1"/>
        <v>7500000</v>
      </c>
      <c r="O20" s="30">
        <f t="shared" si="12"/>
        <v>73650.722334152131</v>
      </c>
      <c r="P20" s="30">
        <f t="shared" si="2"/>
        <v>1145079.2937627234</v>
      </c>
      <c r="Q20" s="32">
        <f t="shared" si="13"/>
        <v>9.8200963112202843E-3</v>
      </c>
      <c r="R20" s="31"/>
      <c r="S20" s="31"/>
      <c r="T20" s="31"/>
      <c r="X20" s="95"/>
      <c r="Z20" s="36"/>
      <c r="AB20" s="36"/>
    </row>
    <row r="21" spans="1:28" x14ac:dyDescent="0.25">
      <c r="A21">
        <f t="shared" si="14"/>
        <v>6</v>
      </c>
      <c r="B21" s="29">
        <f t="shared" si="14"/>
        <v>2025</v>
      </c>
      <c r="C21" s="30">
        <f>C20*(1+$C$25)</f>
        <v>1051188.1076736001</v>
      </c>
      <c r="D21" s="30">
        <f t="shared" si="3"/>
        <v>250867.90384615396</v>
      </c>
      <c r="E21" s="12">
        <f t="shared" si="4"/>
        <v>2297306.8125</v>
      </c>
      <c r="F21" s="21">
        <f t="shared" si="5"/>
        <v>3599362.8240197543</v>
      </c>
      <c r="G21" s="30">
        <f t="shared" si="6"/>
        <v>1168548.2668943999</v>
      </c>
      <c r="H21" s="30">
        <f t="shared" si="7"/>
        <v>701128.96013664</v>
      </c>
      <c r="I21" s="30">
        <f t="shared" si="8"/>
        <v>459461.36250000005</v>
      </c>
      <c r="J21" s="21">
        <f t="shared" si="9"/>
        <v>3060.4835561520003</v>
      </c>
      <c r="K21" s="30">
        <f t="shared" si="0"/>
        <v>1071428.5714285714</v>
      </c>
      <c r="L21" s="21">
        <f t="shared" si="10"/>
        <v>3403627.644515763</v>
      </c>
      <c r="M21" s="31">
        <f t="shared" si="11"/>
        <v>195735.17950399127</v>
      </c>
      <c r="N21" s="30">
        <f t="shared" si="1"/>
        <v>7500000</v>
      </c>
      <c r="O21" s="30">
        <f t="shared" si="12"/>
        <v>144844.03283295353</v>
      </c>
      <c r="P21" s="30">
        <f t="shared" si="2"/>
        <v>1216272.604261525</v>
      </c>
      <c r="Q21" s="32">
        <f t="shared" si="13"/>
        <v>1.9312537711060469E-2</v>
      </c>
      <c r="R21" s="31"/>
      <c r="S21" s="31"/>
      <c r="T21" s="31"/>
      <c r="X21" s="95"/>
      <c r="Z21" s="36"/>
      <c r="AB21" s="36"/>
    </row>
    <row r="22" spans="1:28" x14ac:dyDescent="0.25">
      <c r="A22">
        <f t="shared" si="14"/>
        <v>7</v>
      </c>
      <c r="B22" s="29">
        <f t="shared" si="14"/>
        <v>2026</v>
      </c>
      <c r="C22" s="30">
        <f>C21*(1+$D$5)</f>
        <v>1077467.8103654401</v>
      </c>
      <c r="D22" s="30">
        <f t="shared" si="3"/>
        <v>275954.69423076935</v>
      </c>
      <c r="E22" s="12">
        <f t="shared" si="4"/>
        <v>2412172.1531250002</v>
      </c>
      <c r="F22" s="21">
        <f t="shared" si="5"/>
        <v>3765594.6577212093</v>
      </c>
      <c r="G22" s="30">
        <f t="shared" si="6"/>
        <v>1203604.7149012319</v>
      </c>
      <c r="H22" s="30">
        <f t="shared" si="7"/>
        <v>722162.82894073927</v>
      </c>
      <c r="I22" s="30">
        <f t="shared" si="8"/>
        <v>482434.4306250001</v>
      </c>
      <c r="J22" s="21">
        <f t="shared" si="9"/>
        <v>3152.2980628365603</v>
      </c>
      <c r="K22" s="30">
        <f t="shared" si="0"/>
        <v>1071428.5714285714</v>
      </c>
      <c r="L22" s="21">
        <f t="shared" si="10"/>
        <v>3482782.8439583792</v>
      </c>
      <c r="M22" s="31">
        <f t="shared" si="11"/>
        <v>282811.8137628301</v>
      </c>
      <c r="N22" s="30">
        <f t="shared" si="1"/>
        <v>7500000</v>
      </c>
      <c r="O22" s="30">
        <f t="shared" si="12"/>
        <v>209280.74218449427</v>
      </c>
      <c r="P22" s="30">
        <f t="shared" si="2"/>
        <v>1280709.3136130655</v>
      </c>
      <c r="Q22" s="32">
        <f t="shared" si="13"/>
        <v>2.7904098957932569E-2</v>
      </c>
      <c r="R22" s="31"/>
      <c r="S22" s="31"/>
      <c r="T22" s="31"/>
      <c r="W22" s="37"/>
      <c r="X22" s="95"/>
      <c r="Z22" s="36"/>
      <c r="AB22" s="36"/>
    </row>
    <row r="23" spans="1:28" x14ac:dyDescent="0.25">
      <c r="A23">
        <f t="shared" si="14"/>
        <v>8</v>
      </c>
      <c r="B23" s="29">
        <f t="shared" si="14"/>
        <v>2027</v>
      </c>
      <c r="C23" s="30">
        <f>C22*(1+$D$5)</f>
        <v>1104404.505624576</v>
      </c>
      <c r="D23" s="30">
        <f t="shared" si="3"/>
        <v>303550.16365384631</v>
      </c>
      <c r="E23" s="12">
        <f t="shared" si="4"/>
        <v>2532780.7607812504</v>
      </c>
      <c r="F23" s="21">
        <f t="shared" si="5"/>
        <v>3940735.4300596728</v>
      </c>
      <c r="G23" s="30">
        <f t="shared" si="6"/>
        <v>1239712.8563482689</v>
      </c>
      <c r="H23" s="30">
        <f t="shared" si="7"/>
        <v>743827.71380896145</v>
      </c>
      <c r="I23" s="30">
        <f t="shared" si="8"/>
        <v>506556.15215625014</v>
      </c>
      <c r="J23" s="21">
        <f t="shared" si="9"/>
        <v>3246.8670047216574</v>
      </c>
      <c r="K23" s="30">
        <f t="shared" si="0"/>
        <v>1071428.5714285714</v>
      </c>
      <c r="L23" s="21">
        <f t="shared" ref="L23" si="15">SUM(G23:K23)</f>
        <v>3564772.1607467732</v>
      </c>
      <c r="M23" s="31">
        <f t="shared" si="11"/>
        <v>375963.26931289956</v>
      </c>
      <c r="N23" s="30">
        <f t="shared" si="1"/>
        <v>7500000</v>
      </c>
      <c r="O23" s="30">
        <f t="shared" si="12"/>
        <v>278212.81929154566</v>
      </c>
      <c r="P23" s="30">
        <f t="shared" si="2"/>
        <v>1349641.3907201169</v>
      </c>
      <c r="Q23" s="32">
        <f t="shared" si="13"/>
        <v>3.709504257220609E-2</v>
      </c>
      <c r="R23" s="31"/>
      <c r="S23" s="31"/>
      <c r="T23" s="31"/>
      <c r="W23" s="37"/>
      <c r="X23" s="93"/>
      <c r="Z23" s="36"/>
      <c r="AB23" s="36"/>
    </row>
    <row r="24" spans="1:28" x14ac:dyDescent="0.25">
      <c r="B24" s="29"/>
      <c r="C24" s="38"/>
      <c r="D24" s="38"/>
      <c r="G24" s="38"/>
      <c r="K24" s="38"/>
      <c r="L24" s="38"/>
      <c r="M24" s="38"/>
      <c r="N24" s="38"/>
      <c r="O24" s="38"/>
      <c r="P24" s="38"/>
      <c r="Q24" s="32"/>
      <c r="R24" s="39"/>
      <c r="W24" s="37"/>
      <c r="X24" s="40"/>
    </row>
    <row r="25" spans="1:28" ht="30" x14ac:dyDescent="0.25">
      <c r="A25" s="104" t="s">
        <v>74</v>
      </c>
      <c r="B25" s="5"/>
      <c r="C25" s="41">
        <f>G6</f>
        <v>0.04</v>
      </c>
      <c r="D25" s="41">
        <f>G7</f>
        <v>0.1</v>
      </c>
      <c r="E25" s="105">
        <f>G8</f>
        <v>0.05</v>
      </c>
      <c r="F25" s="106"/>
      <c r="G25" s="42">
        <v>0.03</v>
      </c>
      <c r="H25" s="43">
        <v>0.03</v>
      </c>
      <c r="I25" s="43">
        <v>0.05</v>
      </c>
      <c r="J25" s="42">
        <v>0.03</v>
      </c>
      <c r="K25" s="44"/>
      <c r="L25" s="17"/>
      <c r="M25" s="38"/>
      <c r="N25" s="38"/>
      <c r="O25" s="38"/>
      <c r="P25" s="38"/>
      <c r="Q25" s="38"/>
      <c r="R25" s="39"/>
      <c r="W25" s="37"/>
      <c r="X25" s="40"/>
    </row>
    <row r="26" spans="1:28" x14ac:dyDescent="0.25">
      <c r="B26" s="5"/>
      <c r="C26" s="5"/>
      <c r="D26" s="44"/>
      <c r="E26" s="44"/>
      <c r="F26" s="44"/>
      <c r="G26" s="38"/>
      <c r="H26" s="38"/>
      <c r="I26" s="44"/>
      <c r="J26" s="17"/>
      <c r="K26" s="44"/>
      <c r="L26" s="38"/>
      <c r="M26" s="38"/>
      <c r="N26" s="38"/>
      <c r="O26" s="38"/>
      <c r="P26" s="38"/>
      <c r="Q26" s="38"/>
      <c r="R26" s="39"/>
      <c r="W26" s="37"/>
      <c r="X26" s="40"/>
    </row>
    <row r="27" spans="1:28" x14ac:dyDescent="0.25">
      <c r="I27" s="96"/>
      <c r="J27" s="96"/>
      <c r="K27" s="96"/>
      <c r="L27" s="96"/>
      <c r="M27" s="96"/>
      <c r="N27" s="96"/>
      <c r="R27" s="94"/>
      <c r="S27" s="94"/>
      <c r="X27" s="7"/>
    </row>
    <row r="28" spans="1:28" x14ac:dyDescent="0.25">
      <c r="B28" s="45"/>
      <c r="C28" s="97" t="s">
        <v>48</v>
      </c>
      <c r="D28" s="97"/>
      <c r="E28" s="97"/>
      <c r="F28" s="97"/>
      <c r="G28" s="97"/>
      <c r="H28" s="97"/>
      <c r="I28" s="98" t="s">
        <v>49</v>
      </c>
      <c r="J28" s="98"/>
      <c r="K28" s="98"/>
      <c r="L28" s="98"/>
      <c r="M28" s="98"/>
      <c r="N28" s="98"/>
      <c r="O28" s="99" t="s">
        <v>50</v>
      </c>
      <c r="P28" s="99"/>
      <c r="Q28" s="99"/>
      <c r="R28" s="99"/>
      <c r="S28" s="99"/>
      <c r="T28" s="99"/>
      <c r="U28" s="46"/>
      <c r="V28" s="46"/>
      <c r="W28" s="46"/>
      <c r="X28" s="46"/>
      <c r="Z28" s="47"/>
      <c r="AA28" s="47"/>
    </row>
    <row r="29" spans="1:28" ht="46.5" customHeight="1" x14ac:dyDescent="0.35">
      <c r="B29" s="48"/>
      <c r="C29" s="49" t="s">
        <v>46</v>
      </c>
      <c r="D29" s="49" t="s">
        <v>51</v>
      </c>
      <c r="E29" s="49" t="s">
        <v>52</v>
      </c>
      <c r="F29" s="49" t="s">
        <v>53</v>
      </c>
      <c r="G29" s="49" t="s">
        <v>54</v>
      </c>
      <c r="H29" s="49" t="s">
        <v>55</v>
      </c>
      <c r="I29" s="50" t="s">
        <v>46</v>
      </c>
      <c r="J29" s="50" t="s">
        <v>56</v>
      </c>
      <c r="K29" s="50" t="s">
        <v>57</v>
      </c>
      <c r="L29" s="50" t="s">
        <v>53</v>
      </c>
      <c r="M29" s="50" t="s">
        <v>54</v>
      </c>
      <c r="N29" s="50" t="s">
        <v>55</v>
      </c>
      <c r="O29" s="51" t="s">
        <v>58</v>
      </c>
      <c r="P29" s="51" t="s">
        <v>60</v>
      </c>
      <c r="Q29" s="51" t="s">
        <v>72</v>
      </c>
      <c r="R29" s="51" t="s">
        <v>53</v>
      </c>
      <c r="S29" s="51" t="s">
        <v>54</v>
      </c>
      <c r="T29" s="51" t="s">
        <v>55</v>
      </c>
      <c r="Z29" s="37"/>
      <c r="AA29" s="37"/>
    </row>
    <row r="30" spans="1:28" x14ac:dyDescent="0.25">
      <c r="B30" s="52">
        <v>0</v>
      </c>
      <c r="C30" s="49"/>
      <c r="D30" s="49"/>
      <c r="E30" s="49"/>
      <c r="F30" s="53">
        <f>-G10</f>
        <v>-7500000</v>
      </c>
      <c r="I30" s="54"/>
      <c r="J30" s="54"/>
      <c r="K30" s="54"/>
      <c r="L30" s="55">
        <f>-G10</f>
        <v>-7500000</v>
      </c>
      <c r="M30" s="54"/>
      <c r="N30" s="54"/>
      <c r="O30" s="51"/>
      <c r="P30" s="51"/>
      <c r="Q30" s="51"/>
      <c r="R30" s="56">
        <f>-G10</f>
        <v>-7500000</v>
      </c>
      <c r="Z30" s="37"/>
      <c r="AA30" s="37"/>
    </row>
    <row r="31" spans="1:28" x14ac:dyDescent="0.25">
      <c r="B31">
        <f>A16</f>
        <v>1</v>
      </c>
      <c r="C31" s="57">
        <f t="shared" ref="C31:C38" si="16">P16</f>
        <v>903375.05934065976</v>
      </c>
      <c r="D31" s="57">
        <f>C31/((1+$D$7)^$B31)</f>
        <v>852240.62201949034</v>
      </c>
      <c r="E31" s="57">
        <f>D31</f>
        <v>852240.62201949034</v>
      </c>
      <c r="F31" s="58">
        <f t="shared" ref="F31:F36" si="17">C31</f>
        <v>903375.05934065976</v>
      </c>
      <c r="G31" s="58">
        <f>F30+C31</f>
        <v>-6596624.9406593405</v>
      </c>
      <c r="H31" s="58">
        <f t="shared" ref="H31:H37" si="18">$F$30+E31</f>
        <v>-6647759.3779805098</v>
      </c>
      <c r="I31" s="55">
        <f t="shared" ref="I31:K37" si="19">C31</f>
        <v>903375.05934065976</v>
      </c>
      <c r="J31" s="55">
        <f t="shared" si="19"/>
        <v>852240.62201949034</v>
      </c>
      <c r="K31" s="55">
        <f t="shared" si="19"/>
        <v>852240.62201949034</v>
      </c>
      <c r="L31" s="55">
        <f t="shared" ref="L31:L36" si="20">I31</f>
        <v>903375.05934065976</v>
      </c>
      <c r="M31" s="55">
        <f>L30+I31</f>
        <v>-6596624.9406593405</v>
      </c>
      <c r="N31" s="55">
        <f t="shared" ref="N31:N37" si="21">$L$30+K31</f>
        <v>-6647759.3779805098</v>
      </c>
      <c r="O31" s="59">
        <f t="shared" ref="O31:O38" si="22">P16</f>
        <v>903375.05934065976</v>
      </c>
      <c r="P31" s="60">
        <f t="shared" ref="P31:P37" si="23">C31/((1+$D$7)^$B31)</f>
        <v>852240.62201949034</v>
      </c>
      <c r="Q31" s="60">
        <f>P31</f>
        <v>852240.62201949034</v>
      </c>
      <c r="R31" s="61">
        <f t="shared" ref="R31:R36" si="24">O31</f>
        <v>903375.05934065976</v>
      </c>
      <c r="S31" s="61">
        <f>R30+O31</f>
        <v>-6596624.9406593405</v>
      </c>
      <c r="T31" s="61">
        <f t="shared" ref="T31:T37" si="25">$R$30+Q31</f>
        <v>-6647759.3779805098</v>
      </c>
      <c r="Z31" s="37"/>
      <c r="AA31" s="37"/>
    </row>
    <row r="32" spans="1:28" x14ac:dyDescent="0.25">
      <c r="B32">
        <f>B31+1</f>
        <v>2</v>
      </c>
      <c r="C32" s="57">
        <f t="shared" si="16"/>
        <v>957893.61441758275</v>
      </c>
      <c r="D32" s="57">
        <f t="shared" ref="D32:D37" si="26">C32/((1+$D$7)^$B32)</f>
        <v>852521.90674402157</v>
      </c>
      <c r="E32" s="57">
        <f>E31+D32</f>
        <v>1704762.5287635119</v>
      </c>
      <c r="F32" s="58">
        <f t="shared" si="17"/>
        <v>957893.61441758275</v>
      </c>
      <c r="G32" s="58">
        <f t="shared" ref="G32:G37" si="27">G31+C32</f>
        <v>-5638731.3262417577</v>
      </c>
      <c r="H32" s="58">
        <f t="shared" si="18"/>
        <v>-5795237.4712364879</v>
      </c>
      <c r="I32" s="55">
        <f t="shared" si="19"/>
        <v>957893.61441758275</v>
      </c>
      <c r="J32" s="55">
        <f t="shared" si="19"/>
        <v>852521.90674402157</v>
      </c>
      <c r="K32" s="55">
        <f t="shared" si="19"/>
        <v>1704762.5287635119</v>
      </c>
      <c r="L32" s="55">
        <f t="shared" si="20"/>
        <v>957893.61441758275</v>
      </c>
      <c r="M32" s="55">
        <f t="shared" ref="M32:M37" si="28">M31+I32</f>
        <v>-5638731.3262417577</v>
      </c>
      <c r="N32" s="55">
        <f t="shared" si="21"/>
        <v>-5795237.4712364879</v>
      </c>
      <c r="O32" s="59">
        <f t="shared" si="22"/>
        <v>957893.61441758275</v>
      </c>
      <c r="P32" s="60">
        <f t="shared" si="23"/>
        <v>852521.90674402157</v>
      </c>
      <c r="Q32" s="60">
        <f>Q31+P32</f>
        <v>1704762.5287635119</v>
      </c>
      <c r="R32" s="61">
        <f t="shared" si="24"/>
        <v>957893.61441758275</v>
      </c>
      <c r="S32" s="61">
        <f t="shared" ref="S32:S37" si="29">S31+O32</f>
        <v>-5638731.3262417577</v>
      </c>
      <c r="T32" s="61">
        <f t="shared" si="25"/>
        <v>-5795237.4712364879</v>
      </c>
      <c r="Z32" s="37"/>
      <c r="AA32" s="37"/>
    </row>
    <row r="33" spans="2:27" x14ac:dyDescent="0.25">
      <c r="B33">
        <f t="shared" ref="B33:B34" si="30">B32+1</f>
        <v>3</v>
      </c>
      <c r="C33" s="57">
        <f t="shared" si="16"/>
        <v>1016175.9547621978</v>
      </c>
      <c r="D33" s="57">
        <f t="shared" si="26"/>
        <v>853200.92657210107</v>
      </c>
      <c r="E33" s="57">
        <f t="shared" ref="E33:E37" si="31">E32+D33</f>
        <v>2557963.4553356129</v>
      </c>
      <c r="F33" s="58">
        <f t="shared" si="17"/>
        <v>1016175.9547621978</v>
      </c>
      <c r="G33" s="58">
        <f t="shared" si="27"/>
        <v>-4622555.3714795597</v>
      </c>
      <c r="H33" s="58">
        <f t="shared" si="18"/>
        <v>-4942036.5446643867</v>
      </c>
      <c r="I33" s="55">
        <f t="shared" si="19"/>
        <v>1016175.9547621978</v>
      </c>
      <c r="J33" s="55">
        <f t="shared" si="19"/>
        <v>853200.92657210107</v>
      </c>
      <c r="K33" s="55">
        <f t="shared" si="19"/>
        <v>2557963.4553356129</v>
      </c>
      <c r="L33" s="55">
        <f t="shared" si="20"/>
        <v>1016175.9547621978</v>
      </c>
      <c r="M33" s="55">
        <f t="shared" si="28"/>
        <v>-4622555.3714795597</v>
      </c>
      <c r="N33" s="55">
        <f t="shared" si="21"/>
        <v>-4942036.5446643867</v>
      </c>
      <c r="O33" s="59">
        <f t="shared" si="22"/>
        <v>1016175.9547621978</v>
      </c>
      <c r="P33" s="60">
        <f t="shared" si="23"/>
        <v>853200.92657210107</v>
      </c>
      <c r="Q33" s="60">
        <f t="shared" ref="Q33:Q37" si="32">Q32+P33</f>
        <v>2557963.4553356129</v>
      </c>
      <c r="R33" s="61">
        <f t="shared" si="24"/>
        <v>1016175.9547621978</v>
      </c>
      <c r="S33" s="61">
        <f t="shared" si="29"/>
        <v>-4622555.3714795597</v>
      </c>
      <c r="T33" s="61">
        <f t="shared" si="25"/>
        <v>-4942036.5446643867</v>
      </c>
      <c r="Z33" s="37"/>
      <c r="AA33" s="37"/>
    </row>
    <row r="34" spans="2:27" x14ac:dyDescent="0.25">
      <c r="B34">
        <f t="shared" si="30"/>
        <v>4</v>
      </c>
      <c r="C34" s="57">
        <f t="shared" si="16"/>
        <v>1078479.192154075</v>
      </c>
      <c r="D34" s="57">
        <f t="shared" si="26"/>
        <v>854256.53403930215</v>
      </c>
      <c r="E34" s="57">
        <f>E33+D34</f>
        <v>3412219.9893749151</v>
      </c>
      <c r="F34" s="58">
        <f t="shared" si="17"/>
        <v>1078479.192154075</v>
      </c>
      <c r="G34" s="58">
        <f t="shared" si="27"/>
        <v>-3544076.1793254847</v>
      </c>
      <c r="H34" s="58">
        <f t="shared" si="18"/>
        <v>-4087780.0106250849</v>
      </c>
      <c r="I34" s="55">
        <f t="shared" si="19"/>
        <v>1078479.192154075</v>
      </c>
      <c r="J34" s="55">
        <f t="shared" si="19"/>
        <v>854256.53403930215</v>
      </c>
      <c r="K34" s="55">
        <f t="shared" si="19"/>
        <v>3412219.9893749151</v>
      </c>
      <c r="L34" s="55">
        <f t="shared" si="20"/>
        <v>1078479.192154075</v>
      </c>
      <c r="M34" s="55">
        <f t="shared" si="28"/>
        <v>-3544076.1793254847</v>
      </c>
      <c r="N34" s="55">
        <f t="shared" si="21"/>
        <v>-4087780.0106250849</v>
      </c>
      <c r="O34" s="59">
        <f t="shared" si="22"/>
        <v>1078479.192154075</v>
      </c>
      <c r="P34" s="60">
        <f t="shared" si="23"/>
        <v>854256.53403930215</v>
      </c>
      <c r="Q34" s="60">
        <f t="shared" si="32"/>
        <v>3412219.9893749151</v>
      </c>
      <c r="R34" s="61">
        <f t="shared" si="24"/>
        <v>1078479.192154075</v>
      </c>
      <c r="S34" s="61">
        <f t="shared" si="29"/>
        <v>-3544076.1793254847</v>
      </c>
      <c r="T34" s="61">
        <f t="shared" si="25"/>
        <v>-4087780.0106250849</v>
      </c>
    </row>
    <row r="35" spans="2:27" x14ac:dyDescent="0.25">
      <c r="B35">
        <f>B34+1</f>
        <v>5</v>
      </c>
      <c r="C35" s="57">
        <f t="shared" si="16"/>
        <v>1145079.2937627234</v>
      </c>
      <c r="D35" s="57">
        <f t="shared" si="26"/>
        <v>855669.86084388755</v>
      </c>
      <c r="E35" s="57">
        <f t="shared" si="31"/>
        <v>4267889.8502188027</v>
      </c>
      <c r="F35" s="58">
        <f t="shared" si="17"/>
        <v>1145079.2937627234</v>
      </c>
      <c r="G35" s="58">
        <f t="shared" si="27"/>
        <v>-2398996.8855627612</v>
      </c>
      <c r="H35" s="58">
        <f t="shared" si="18"/>
        <v>-3232110.1497811973</v>
      </c>
      <c r="I35" s="55">
        <f t="shared" si="19"/>
        <v>1145079.2937627234</v>
      </c>
      <c r="J35" s="55">
        <f t="shared" si="19"/>
        <v>855669.86084388755</v>
      </c>
      <c r="K35" s="55">
        <f t="shared" si="19"/>
        <v>4267889.8502188027</v>
      </c>
      <c r="L35" s="55">
        <f t="shared" si="20"/>
        <v>1145079.2937627234</v>
      </c>
      <c r="M35" s="55">
        <f t="shared" si="28"/>
        <v>-2398996.8855627612</v>
      </c>
      <c r="N35" s="55">
        <f t="shared" si="21"/>
        <v>-3232110.1497811973</v>
      </c>
      <c r="O35" s="59">
        <f t="shared" si="22"/>
        <v>1145079.2937627234</v>
      </c>
      <c r="P35" s="60">
        <f t="shared" si="23"/>
        <v>855669.86084388755</v>
      </c>
      <c r="Q35" s="60">
        <f t="shared" si="32"/>
        <v>4267889.8502188027</v>
      </c>
      <c r="R35" s="61">
        <f t="shared" si="24"/>
        <v>1145079.2937627234</v>
      </c>
      <c r="S35" s="61">
        <f t="shared" si="29"/>
        <v>-2398996.8855627612</v>
      </c>
      <c r="T35" s="61">
        <f t="shared" si="25"/>
        <v>-3232110.1497811973</v>
      </c>
    </row>
    <row r="36" spans="2:27" x14ac:dyDescent="0.25">
      <c r="B36">
        <f>B35+1</f>
        <v>6</v>
      </c>
      <c r="C36" s="57">
        <f t="shared" si="16"/>
        <v>1216272.604261525</v>
      </c>
      <c r="D36" s="57">
        <f t="shared" si="26"/>
        <v>857424.19242217718</v>
      </c>
      <c r="E36" s="57">
        <f t="shared" si="31"/>
        <v>5125314.0426409803</v>
      </c>
      <c r="F36" s="58">
        <f t="shared" si="17"/>
        <v>1216272.604261525</v>
      </c>
      <c r="G36" s="58">
        <f t="shared" si="27"/>
        <v>-1182724.2813012362</v>
      </c>
      <c r="H36" s="58">
        <f t="shared" si="18"/>
        <v>-2374685.9573590197</v>
      </c>
      <c r="I36" s="55">
        <f t="shared" si="19"/>
        <v>1216272.604261525</v>
      </c>
      <c r="J36" s="55">
        <f t="shared" si="19"/>
        <v>857424.19242217718</v>
      </c>
      <c r="K36" s="55">
        <f t="shared" si="19"/>
        <v>5125314.0426409803</v>
      </c>
      <c r="L36" s="55">
        <f t="shared" si="20"/>
        <v>1216272.604261525</v>
      </c>
      <c r="M36" s="55">
        <f t="shared" si="28"/>
        <v>-1182724.2813012362</v>
      </c>
      <c r="N36" s="55">
        <f t="shared" si="21"/>
        <v>-2374685.9573590197</v>
      </c>
      <c r="O36" s="59">
        <f t="shared" si="22"/>
        <v>1216272.604261525</v>
      </c>
      <c r="P36" s="60">
        <f t="shared" si="23"/>
        <v>857424.19242217718</v>
      </c>
      <c r="Q36" s="60">
        <f t="shared" si="32"/>
        <v>5125314.0426409803</v>
      </c>
      <c r="R36" s="61">
        <f t="shared" si="24"/>
        <v>1216272.604261525</v>
      </c>
      <c r="S36" s="61">
        <f t="shared" si="29"/>
        <v>-1182724.2813012362</v>
      </c>
      <c r="T36" s="61">
        <f t="shared" si="25"/>
        <v>-2374685.9573590197</v>
      </c>
    </row>
    <row r="37" spans="2:27" x14ac:dyDescent="0.25">
      <c r="B37">
        <f>B36+1</f>
        <v>7</v>
      </c>
      <c r="C37" s="57">
        <f t="shared" si="16"/>
        <v>1280709.3136130655</v>
      </c>
      <c r="D37" s="57">
        <f t="shared" si="26"/>
        <v>851744.83950074855</v>
      </c>
      <c r="E37" s="57">
        <f t="shared" si="31"/>
        <v>5977058.8821417289</v>
      </c>
      <c r="F37" s="58">
        <f>C37+E41</f>
        <v>4280709.3136130655</v>
      </c>
      <c r="G37" s="58">
        <f t="shared" si="27"/>
        <v>97985.032311829273</v>
      </c>
      <c r="H37" s="58">
        <f t="shared" si="18"/>
        <v>-1522941.1178582711</v>
      </c>
      <c r="I37" s="55">
        <f t="shared" si="19"/>
        <v>1280709.3136130655</v>
      </c>
      <c r="J37" s="55">
        <f t="shared" si="19"/>
        <v>851744.83950074855</v>
      </c>
      <c r="K37" s="55">
        <f t="shared" si="19"/>
        <v>5977058.8821417289</v>
      </c>
      <c r="L37" s="55">
        <f>I37+K41</f>
        <v>39841891.90561641</v>
      </c>
      <c r="M37" s="55">
        <f t="shared" si="28"/>
        <v>97985.032311829273</v>
      </c>
      <c r="N37" s="55">
        <f t="shared" si="21"/>
        <v>-1522941.1178582711</v>
      </c>
      <c r="O37" s="59">
        <f t="shared" si="22"/>
        <v>1280709.3136130655</v>
      </c>
      <c r="P37" s="60">
        <f t="shared" si="23"/>
        <v>851744.83950074855</v>
      </c>
      <c r="Q37" s="60">
        <f t="shared" si="32"/>
        <v>5977058.8821417289</v>
      </c>
      <c r="R37" s="61">
        <f>O37+Q41</f>
        <v>4236260.88615782</v>
      </c>
      <c r="S37" s="61">
        <f t="shared" si="29"/>
        <v>97985.032311829273</v>
      </c>
      <c r="T37" s="61">
        <f t="shared" si="25"/>
        <v>-1522941.1178582711</v>
      </c>
    </row>
    <row r="38" spans="2:27" x14ac:dyDescent="0.25">
      <c r="B38">
        <v>8</v>
      </c>
      <c r="C38" s="58">
        <f t="shared" si="16"/>
        <v>1349641.3907201169</v>
      </c>
      <c r="D38" s="62"/>
      <c r="E38" s="62"/>
      <c r="F38" s="62"/>
      <c r="I38" s="55">
        <f>C38</f>
        <v>1349641.3907201169</v>
      </c>
      <c r="J38" s="54"/>
      <c r="K38" s="54"/>
      <c r="L38" s="54"/>
      <c r="M38" s="54"/>
      <c r="N38" s="54"/>
      <c r="O38" s="61">
        <f t="shared" si="22"/>
        <v>1349641.3907201169</v>
      </c>
      <c r="P38" s="63"/>
      <c r="Q38" s="63"/>
      <c r="R38" s="63"/>
    </row>
    <row r="39" spans="2:27" x14ac:dyDescent="0.25">
      <c r="C39" s="62"/>
      <c r="D39" s="62"/>
      <c r="E39" s="62"/>
      <c r="F39" s="62"/>
      <c r="I39" s="54"/>
      <c r="J39" s="54"/>
      <c r="K39" s="54"/>
      <c r="L39" s="54"/>
      <c r="M39" s="54"/>
      <c r="N39" s="54"/>
      <c r="O39" s="63"/>
      <c r="P39" s="63"/>
      <c r="Q39" s="63"/>
      <c r="R39" s="63"/>
    </row>
    <row r="40" spans="2:27" ht="18" customHeight="1" x14ac:dyDescent="0.35">
      <c r="B40" s="64"/>
      <c r="C40" s="65"/>
      <c r="D40" s="66" t="s">
        <v>51</v>
      </c>
      <c r="E40" s="67">
        <f>E37</f>
        <v>5977058.8821417289</v>
      </c>
      <c r="F40" s="62"/>
      <c r="I40" s="54"/>
      <c r="J40" s="68" t="s">
        <v>56</v>
      </c>
      <c r="K40" s="55">
        <f>K37</f>
        <v>5977058.8821417289</v>
      </c>
      <c r="L40" s="54"/>
      <c r="M40" s="54"/>
      <c r="N40" s="54"/>
      <c r="O40" s="101" t="s">
        <v>59</v>
      </c>
      <c r="P40" s="69" t="s">
        <v>60</v>
      </c>
      <c r="Q40" s="70">
        <f>Q37</f>
        <v>5977058.8821417289</v>
      </c>
      <c r="R40" s="71"/>
    </row>
    <row r="41" spans="2:27" ht="18" x14ac:dyDescent="0.35">
      <c r="B41" s="64"/>
      <c r="C41" s="65"/>
      <c r="D41" s="66" t="s">
        <v>28</v>
      </c>
      <c r="E41" s="67">
        <f>G13</f>
        <v>3000000</v>
      </c>
      <c r="F41" s="62"/>
      <c r="I41" s="54"/>
      <c r="J41" s="68" t="s">
        <v>28</v>
      </c>
      <c r="K41" s="55">
        <f>I38/(D7-D5)</f>
        <v>38561182.592003345</v>
      </c>
      <c r="L41" s="54"/>
      <c r="M41" s="54"/>
      <c r="N41" s="54"/>
      <c r="O41" s="101"/>
      <c r="P41" s="69" t="s">
        <v>71</v>
      </c>
      <c r="Q41" s="70">
        <f>F23*O43</f>
        <v>2955551.5725447545</v>
      </c>
      <c r="R41" s="71"/>
    </row>
    <row r="42" spans="2:27" ht="18" x14ac:dyDescent="0.35">
      <c r="B42" s="64"/>
      <c r="C42" s="65"/>
      <c r="D42" s="66" t="s">
        <v>67</v>
      </c>
      <c r="E42" s="67">
        <f>E41/((1+D7)^B37)</f>
        <v>1995171.3408670081</v>
      </c>
      <c r="F42" s="62"/>
      <c r="I42" s="54"/>
      <c r="J42" s="68" t="s">
        <v>70</v>
      </c>
      <c r="K42" s="72">
        <f>K41/(1+D7)^B37</f>
        <v>25645388.792501613</v>
      </c>
      <c r="L42" s="54"/>
      <c r="M42" s="54"/>
      <c r="N42" s="54"/>
      <c r="O42" s="101"/>
      <c r="P42" s="69" t="s">
        <v>61</v>
      </c>
      <c r="Q42" s="70">
        <f>Q41/((1+D7)^B37)</f>
        <v>1965610.5979985707</v>
      </c>
      <c r="R42" s="71"/>
    </row>
    <row r="43" spans="2:27" x14ac:dyDescent="0.25">
      <c r="B43" s="64"/>
      <c r="C43" s="65"/>
      <c r="D43" s="66" t="s">
        <v>68</v>
      </c>
      <c r="E43" s="67">
        <f>E40+E42</f>
        <v>7972230.223008737</v>
      </c>
      <c r="F43" s="62"/>
      <c r="I43" s="54"/>
      <c r="J43" s="68" t="s">
        <v>68</v>
      </c>
      <c r="K43" s="72">
        <f>K40+K42</f>
        <v>31622447.674643341</v>
      </c>
      <c r="L43" s="54"/>
      <c r="M43" s="54"/>
      <c r="N43" s="54"/>
      <c r="O43" s="107">
        <f>G9</f>
        <v>0.75</v>
      </c>
      <c r="P43" s="69" t="s">
        <v>68</v>
      </c>
      <c r="Q43" s="70">
        <f>Q40+Q42</f>
        <v>7942669.4801402995</v>
      </c>
      <c r="R43" s="71"/>
    </row>
    <row r="44" spans="2:27" x14ac:dyDescent="0.25">
      <c r="B44" s="64"/>
      <c r="C44" s="25"/>
      <c r="D44" s="25"/>
      <c r="E44" s="25"/>
      <c r="F44" s="25"/>
      <c r="G44" s="25"/>
      <c r="H44" s="73"/>
      <c r="I44" s="54"/>
      <c r="J44" s="74"/>
      <c r="K44" s="54"/>
      <c r="L44" s="54"/>
      <c r="M44" s="54"/>
      <c r="N44" s="54"/>
      <c r="O44" s="73"/>
      <c r="P44" s="71"/>
      <c r="Q44" s="71"/>
      <c r="R44" s="71"/>
    </row>
    <row r="45" spans="2:27" x14ac:dyDescent="0.25">
      <c r="B45" s="25"/>
      <c r="C45" s="25"/>
      <c r="D45" s="25"/>
      <c r="E45" s="25"/>
      <c r="F45" s="25"/>
      <c r="G45" s="25"/>
      <c r="H45" s="73"/>
      <c r="I45" s="54"/>
      <c r="J45" s="74"/>
      <c r="K45" s="54"/>
      <c r="L45" s="54"/>
      <c r="M45" s="54"/>
      <c r="N45" s="54"/>
      <c r="O45" s="73"/>
      <c r="P45" s="69"/>
      <c r="Q45" s="71"/>
      <c r="R45" s="71"/>
    </row>
    <row r="46" spans="2:27" x14ac:dyDescent="0.25">
      <c r="D46" s="66" t="s">
        <v>62</v>
      </c>
      <c r="E46" s="58">
        <f>E43-G10</f>
        <v>472230.22300873697</v>
      </c>
      <c r="F46" s="57">
        <f>NPV(D7,F31:F37)-G10</f>
        <v>472230.22300873697</v>
      </c>
      <c r="I46" s="54"/>
      <c r="J46" s="68" t="s">
        <v>62</v>
      </c>
      <c r="K46" s="55">
        <f>K43-G10</f>
        <v>24122447.674643341</v>
      </c>
      <c r="L46" s="55">
        <f>NPV(D7,L31:L37)+L30</f>
        <v>24122447.674643345</v>
      </c>
      <c r="M46" s="54"/>
      <c r="N46" s="54"/>
      <c r="P46" s="69" t="s">
        <v>62</v>
      </c>
      <c r="Q46" s="61">
        <f>Q43-G10</f>
        <v>442669.48014029954</v>
      </c>
      <c r="R46" s="61">
        <f>NPV(D7,R31:R37)-G10</f>
        <v>442669.48014029954</v>
      </c>
    </row>
    <row r="47" spans="2:27" x14ac:dyDescent="0.25">
      <c r="C47" s="75"/>
      <c r="D47" s="66" t="s">
        <v>63</v>
      </c>
      <c r="E47" s="76">
        <f>IRR(F30:F37)</f>
        <v>7.3796829409730202E-2</v>
      </c>
      <c r="I47" s="54"/>
      <c r="J47" s="68" t="s">
        <v>63</v>
      </c>
      <c r="K47" s="77">
        <f>IRR(L30:L37)</f>
        <v>0.3423706453449451</v>
      </c>
      <c r="L47" s="54"/>
      <c r="M47" s="54"/>
      <c r="N47" s="54"/>
      <c r="P47" s="69" t="s">
        <v>63</v>
      </c>
      <c r="Q47" s="78">
        <f>IRR(R30:R37)</f>
        <v>7.2970422820978875E-2</v>
      </c>
      <c r="R47" s="63"/>
    </row>
    <row r="48" spans="2:27" x14ac:dyDescent="0.25">
      <c r="C48" s="75"/>
      <c r="D48" s="66" t="s">
        <v>64</v>
      </c>
      <c r="E48" s="76">
        <f>MIRR(F30:F37,D7,D7)</f>
        <v>6.9286865372039097E-2</v>
      </c>
      <c r="I48" s="54"/>
      <c r="J48" s="68" t="s">
        <v>64</v>
      </c>
      <c r="K48" s="77">
        <f>MIRR(L30:L37,L7,L7)</f>
        <v>0.29641004215627742</v>
      </c>
      <c r="L48" s="54"/>
      <c r="M48" s="54"/>
      <c r="N48" s="54"/>
      <c r="P48" s="69" t="s">
        <v>64</v>
      </c>
      <c r="Q48" s="78">
        <f>MIRR(R30:R37,D7,D7)</f>
        <v>6.8719552168351905E-2</v>
      </c>
      <c r="R48" s="63"/>
    </row>
    <row r="49" spans="3:17" x14ac:dyDescent="0.25">
      <c r="C49" s="75"/>
      <c r="D49" s="66" t="s">
        <v>65</v>
      </c>
      <c r="E49" s="79">
        <f>E43/$G$10</f>
        <v>1.0629640297344982</v>
      </c>
      <c r="H49" s="40"/>
      <c r="I49" s="54"/>
      <c r="J49" s="68" t="s">
        <v>65</v>
      </c>
      <c r="K49" s="80">
        <f>K43/$G$10</f>
        <v>4.2163263566191125</v>
      </c>
      <c r="L49" s="54"/>
      <c r="M49" s="54"/>
      <c r="N49" s="54"/>
      <c r="P49" s="81" t="s">
        <v>65</v>
      </c>
      <c r="Q49" s="82">
        <f>Q43/$G$10</f>
        <v>1.05902259735204</v>
      </c>
    </row>
    <row r="50" spans="3:17" x14ac:dyDescent="0.25">
      <c r="D50" s="83" t="s">
        <v>54</v>
      </c>
      <c r="E50" s="84">
        <v>7</v>
      </c>
      <c r="H50" s="40"/>
      <c r="I50" s="54"/>
      <c r="J50" s="85" t="s">
        <v>54</v>
      </c>
      <c r="K50" s="86">
        <v>7</v>
      </c>
      <c r="L50" s="54"/>
      <c r="M50" s="54"/>
      <c r="N50" s="54"/>
      <c r="P50" s="69" t="s">
        <v>54</v>
      </c>
      <c r="Q50" s="5">
        <v>7</v>
      </c>
    </row>
    <row r="51" spans="3:17" x14ac:dyDescent="0.25">
      <c r="D51" s="66" t="s">
        <v>55</v>
      </c>
      <c r="E51" s="84" t="s">
        <v>66</v>
      </c>
      <c r="H51" s="40"/>
      <c r="I51" s="54"/>
      <c r="J51" s="68" t="s">
        <v>55</v>
      </c>
      <c r="K51" s="86" t="s">
        <v>66</v>
      </c>
      <c r="L51" s="54"/>
      <c r="M51" s="54"/>
      <c r="N51" s="54"/>
      <c r="P51" s="69" t="s">
        <v>55</v>
      </c>
      <c r="Q51" s="87" t="s">
        <v>66</v>
      </c>
    </row>
  </sheetData>
  <mergeCells count="14">
    <mergeCell ref="O40:O42"/>
    <mergeCell ref="A7:C7"/>
    <mergeCell ref="A8:C8"/>
    <mergeCell ref="X17:X22"/>
    <mergeCell ref="I27:N27"/>
    <mergeCell ref="C28:H28"/>
    <mergeCell ref="I28:N28"/>
    <mergeCell ref="O28:T28"/>
    <mergeCell ref="A1:R1"/>
    <mergeCell ref="A2:R2"/>
    <mergeCell ref="A5:C5"/>
    <mergeCell ref="F5:G5"/>
    <mergeCell ref="I5:T5"/>
    <mergeCell ref="A6:C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69D38D6F00243A0B00E9C580DF17A" ma:contentTypeVersion="13" ma:contentTypeDescription="Create a new document." ma:contentTypeScope="" ma:versionID="76b9f3d90259b5df45e45c26dc4c6678">
  <xsd:schema xmlns:xsd="http://www.w3.org/2001/XMLSchema" xmlns:xs="http://www.w3.org/2001/XMLSchema" xmlns:p="http://schemas.microsoft.com/office/2006/metadata/properties" xmlns:ns3="c2612fa5-ccce-4251-b75c-38c81acd357a" xmlns:ns4="069fdbfb-56fb-4063-9646-a6eb9499c54a" targetNamespace="http://schemas.microsoft.com/office/2006/metadata/properties" ma:root="true" ma:fieldsID="643ccb298913e338398dbfa93aabbcc1" ns3:_="" ns4:_="">
    <xsd:import namespace="c2612fa5-ccce-4251-b75c-38c81acd357a"/>
    <xsd:import namespace="069fdbfb-56fb-4063-9646-a6eb9499c5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2fa5-ccce-4251-b75c-38c81acd3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dbfb-56fb-4063-9646-a6eb9499c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45D8C-0287-4CBF-A31F-EA365A109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12fa5-ccce-4251-b75c-38c81acd357a"/>
    <ds:schemaRef ds:uri="069fdbfb-56fb-4063-9646-a6eb9499c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A1871-54B8-4979-B6B2-20501589472E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c2612fa5-ccce-4251-b75c-38c81acd357a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69fdbfb-56fb-4063-9646-a6eb9499c5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AC10EF-4DF2-4AA7-8820-DC6A116AF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Jet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Rick Haskell</cp:lastModifiedBy>
  <dcterms:created xsi:type="dcterms:W3CDTF">2020-04-27T23:39:58Z</dcterms:created>
  <dcterms:modified xsi:type="dcterms:W3CDTF">2020-05-07T03:37:28Z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0x01010054469D38D6F00243A0B00E9C580DF17A</vt:lpwstr>
  </property>
</Properties>
</file>