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131884e92771e6bb/COURSES  - CURRENT/"/>
    </mc:Choice>
  </mc:AlternateContent>
  <bookViews>
    <workbookView xWindow="0" yWindow="0" windowWidth="15660" windowHeight="11775"/>
  </bookViews>
  <sheets>
    <sheet name="MKT, BOOK, HURDLE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3" l="1"/>
  <c r="E31" i="3" s="1"/>
  <c r="E32" i="3" s="1"/>
  <c r="E33" i="3" s="1"/>
  <c r="E34" i="3" s="1"/>
  <c r="E35" i="3" s="1"/>
  <c r="E36" i="3" s="1"/>
  <c r="F4" i="3"/>
  <c r="H4" i="3"/>
  <c r="J12" i="3"/>
  <c r="J6" i="3"/>
  <c r="L12" i="3"/>
  <c r="P17" i="3"/>
  <c r="J7" i="3" s="1"/>
  <c r="P12" i="3"/>
  <c r="P13" i="3" s="1"/>
  <c r="L6" i="3" s="1"/>
  <c r="J8" i="3" l="1"/>
  <c r="G21" i="3" s="1"/>
  <c r="L7" i="3"/>
  <c r="L8" i="3" s="1"/>
  <c r="H21" i="3" s="1"/>
  <c r="J14" i="3" l="1"/>
  <c r="L14" i="3"/>
  <c r="G11" i="3" l="1"/>
  <c r="D32" i="3"/>
  <c r="D33" i="3" s="1"/>
  <c r="D34" i="3" s="1"/>
  <c r="D35" i="3" s="1"/>
  <c r="D36" i="3" s="1"/>
  <c r="G12" i="3" l="1"/>
  <c r="G20" i="3" l="1"/>
  <c r="L30" i="3" s="1"/>
  <c r="H20" i="3"/>
  <c r="I30" i="3" s="1"/>
  <c r="F31" i="3"/>
  <c r="I20" i="3"/>
  <c r="O30" i="3" s="1"/>
  <c r="O31" i="3" l="1"/>
  <c r="L31" i="3"/>
  <c r="I31" i="3"/>
  <c r="G31" i="3"/>
  <c r="H31" i="3" s="1"/>
  <c r="F35" i="3"/>
  <c r="M31" i="3"/>
  <c r="N31" i="3" s="1"/>
  <c r="F34" i="3"/>
  <c r="F33" i="3"/>
  <c r="J31" i="3"/>
  <c r="K31" i="3" s="1"/>
  <c r="F32" i="3"/>
  <c r="J34" i="3" l="1"/>
  <c r="O34" i="3"/>
  <c r="L34" i="3"/>
  <c r="I34" i="3"/>
  <c r="G34" i="3"/>
  <c r="M34" i="3"/>
  <c r="G32" i="3"/>
  <c r="H32" i="3" s="1"/>
  <c r="M32" i="3"/>
  <c r="J32" i="3"/>
  <c r="O32" i="3"/>
  <c r="L32" i="3"/>
  <c r="I32" i="3"/>
  <c r="N32" i="3"/>
  <c r="K32" i="3"/>
  <c r="K33" i="3" s="1"/>
  <c r="K34" i="3" s="1"/>
  <c r="G35" i="3"/>
  <c r="M35" i="3"/>
  <c r="F36" i="3"/>
  <c r="J35" i="3"/>
  <c r="M33" i="3"/>
  <c r="J33" i="3"/>
  <c r="O33" i="3"/>
  <c r="L33" i="3"/>
  <c r="I33" i="3"/>
  <c r="G33" i="3"/>
  <c r="H33" i="3" l="1"/>
  <c r="H34" i="3" s="1"/>
  <c r="H35" i="3" s="1"/>
  <c r="H38" i="3" s="1"/>
  <c r="K35" i="3"/>
  <c r="K38" i="3" s="1"/>
  <c r="K39" i="3"/>
  <c r="N39" i="3"/>
  <c r="H39" i="3"/>
  <c r="N33" i="3"/>
  <c r="N34" i="3" s="1"/>
  <c r="N35" i="3" s="1"/>
  <c r="N38" i="3" s="1"/>
  <c r="H40" i="3" l="1"/>
  <c r="H41" i="3" s="1"/>
  <c r="I35" i="3"/>
  <c r="N40" i="3"/>
  <c r="N41" i="3" s="1"/>
  <c r="O35" i="3"/>
  <c r="K40" i="3"/>
  <c r="K41" i="3" s="1"/>
  <c r="L35" i="3"/>
  <c r="K43" i="3" l="1"/>
  <c r="K44" i="3"/>
  <c r="H43" i="3"/>
  <c r="H44" i="3"/>
  <c r="N44" i="3"/>
  <c r="N43" i="3"/>
</calcChain>
</file>

<file path=xl/sharedStrings.xml><?xml version="1.0" encoding="utf-8"?>
<sst xmlns="http://schemas.openxmlformats.org/spreadsheetml/2006/main" count="79" uniqueCount="61">
  <si>
    <t>Year</t>
  </si>
  <si>
    <r>
      <t>PV</t>
    </r>
    <r>
      <rPr>
        <b/>
        <vertAlign val="subscript"/>
        <sz val="11"/>
        <color theme="1"/>
        <rFont val="Calibri"/>
        <family val="2"/>
        <scheme val="minor"/>
      </rPr>
      <t>DCF</t>
    </r>
  </si>
  <si>
    <r>
      <t>Total PV</t>
    </r>
    <r>
      <rPr>
        <b/>
        <vertAlign val="subscript"/>
        <sz val="11"/>
        <color theme="1"/>
        <rFont val="Calibri"/>
        <family val="2"/>
        <scheme val="minor"/>
      </rPr>
      <t>DCF</t>
    </r>
  </si>
  <si>
    <t>WACC</t>
  </si>
  <si>
    <t>V</t>
  </si>
  <si>
    <r>
      <t>PV</t>
    </r>
    <r>
      <rPr>
        <b/>
        <vertAlign val="subscript"/>
        <sz val="11"/>
        <color theme="1"/>
        <rFont val="Calibri"/>
        <family val="2"/>
        <scheme val="minor"/>
      </rPr>
      <t>CV</t>
    </r>
  </si>
  <si>
    <t>Base Year</t>
  </si>
  <si>
    <t>Explicit Period</t>
  </si>
  <si>
    <r>
      <t>CF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of CV</t>
    </r>
  </si>
  <si>
    <t xml:space="preserve">Time </t>
  </si>
  <si>
    <t>D</t>
  </si>
  <si>
    <t>E</t>
  </si>
  <si>
    <t>Tax Rate (avg)</t>
  </si>
  <si>
    <t>NPV</t>
  </si>
  <si>
    <t>IRR</t>
  </si>
  <si>
    <t>How not to use NPV in Excel</t>
  </si>
  <si>
    <t>http://www.propertymetrics.com/blog/2014/09/30/how-not-to-use-npv-in-excel/</t>
  </si>
  <si>
    <t>EBIT</t>
  </si>
  <si>
    <t>CA</t>
  </si>
  <si>
    <t>CL</t>
  </si>
  <si>
    <t>Fixed Operating Assets</t>
  </si>
  <si>
    <t>Depreciation</t>
  </si>
  <si>
    <r>
      <t>g</t>
    </r>
    <r>
      <rPr>
        <b/>
        <vertAlign val="subscript"/>
        <sz val="11"/>
        <color theme="1"/>
        <rFont val="Calibri"/>
        <family val="2"/>
        <scheme val="minor"/>
      </rPr>
      <t>LONGTERM</t>
    </r>
  </si>
  <si>
    <t>FCF</t>
  </si>
  <si>
    <t>NOPLAT</t>
  </si>
  <si>
    <t>Coupon Rate</t>
  </si>
  <si>
    <t>Current YTM</t>
  </si>
  <si>
    <t>Market Value LTD</t>
  </si>
  <si>
    <t>Face Value per unit</t>
  </si>
  <si>
    <t>Issue Term</t>
  </si>
  <si>
    <t>Period per year</t>
  </si>
  <si>
    <t>Years Since Issue</t>
  </si>
  <si>
    <t>Per Unit Market Value LTD</t>
  </si>
  <si>
    <t>Common Shares Outstanding</t>
  </si>
  <si>
    <t>Common Price Per Share</t>
  </si>
  <si>
    <t>Market Cap Common Stock</t>
  </si>
  <si>
    <r>
      <t>R</t>
    </r>
    <r>
      <rPr>
        <b/>
        <vertAlign val="subscript"/>
        <sz val="11"/>
        <color theme="1"/>
        <rFont val="Calibri"/>
        <family val="2"/>
        <scheme val="minor"/>
      </rPr>
      <t>E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</si>
  <si>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 xml:space="preserve">D </t>
    </r>
    <r>
      <rPr>
        <b/>
        <sz val="11"/>
        <color theme="1"/>
        <rFont val="Calibri"/>
        <family val="2"/>
        <scheme val="minor"/>
      </rPr>
      <t>= YTM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</si>
  <si>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F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</si>
  <si>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M</t>
    </r>
  </si>
  <si>
    <t>Beta</t>
  </si>
  <si>
    <t>Cash &amp; Equivalents</t>
  </si>
  <si>
    <t>r</t>
  </si>
  <si>
    <t>WACC - Market</t>
  </si>
  <si>
    <t>WACC - Book</t>
  </si>
  <si>
    <t>Book Value Long-Term Debt</t>
  </si>
  <si>
    <t>Estimated Valuation</t>
  </si>
  <si>
    <t>Single Stage Model using FCF</t>
  </si>
  <si>
    <t>Book based WACC</t>
  </si>
  <si>
    <t>Market based WACC</t>
  </si>
  <si>
    <t>Hurdle Rate    ( r)</t>
  </si>
  <si>
    <t>Enterprise Value</t>
  </si>
  <si>
    <r>
      <t>g</t>
    </r>
    <r>
      <rPr>
        <b/>
        <vertAlign val="subscript"/>
        <sz val="11"/>
        <color theme="1"/>
        <rFont val="Calibri"/>
        <family val="2"/>
        <scheme val="minor"/>
      </rPr>
      <t>Explicit</t>
    </r>
  </si>
  <si>
    <t>CV</t>
  </si>
  <si>
    <t>VALUE</t>
  </si>
  <si>
    <t xml:space="preserve">Multi-Stage Valuation </t>
  </si>
  <si>
    <t>Market WACC Based</t>
  </si>
  <si>
    <t>Book WACC Based</t>
  </si>
  <si>
    <t>Hurdle Rate Based</t>
  </si>
  <si>
    <t>Adjusted Cash Flows</t>
  </si>
  <si>
    <t>MARKET WACC, BOOK WACC AND HURDLE RATE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</si>
</sst>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_(* #,##0_);_(* \(#,##0\);_(* &quot;-&quot;??_);_(@_)"/>
    <numFmt numFmtId="166" formatCode="0.0%"/>
    <numFmt numFmtId="167" formatCode="0.00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3" fontId="0" fillId="0" borderId="0" xfId="1" applyFont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10" fontId="0" fillId="0" borderId="0" xfId="0" applyNumberFormat="1"/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43" fontId="1" fillId="0" borderId="0" xfId="1" applyFont="1" applyBorder="1" applyAlignment="1">
      <alignment horizontal="right"/>
    </xf>
    <xf numFmtId="43" fontId="1" fillId="0" borderId="0" xfId="0" applyNumberFormat="1" applyFont="1" applyBorder="1" applyAlignment="1">
      <alignment horizontal="right"/>
    </xf>
    <xf numFmtId="0" fontId="4" fillId="0" borderId="0" xfId="3"/>
    <xf numFmtId="0" fontId="6" fillId="0" borderId="0" xfId="0" applyFont="1"/>
    <xf numFmtId="10" fontId="0" fillId="0" borderId="0" xfId="2" applyNumberFormat="1" applyFont="1"/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5" fontId="3" fillId="0" borderId="0" xfId="1" applyNumberFormat="1" applyFont="1" applyAlignment="1"/>
    <xf numFmtId="165" fontId="0" fillId="0" borderId="0" xfId="1" applyNumberFormat="1" applyFont="1" applyAlignment="1"/>
    <xf numFmtId="10" fontId="3" fillId="0" borderId="0" xfId="2" applyNumberFormat="1" applyFont="1" applyAlignment="1"/>
    <xf numFmtId="165" fontId="0" fillId="0" borderId="0" xfId="0" applyNumberFormat="1" applyAlignment="1"/>
    <xf numFmtId="10" fontId="0" fillId="0" borderId="0" xfId="2" applyNumberFormat="1" applyFont="1" applyAlignment="1"/>
    <xf numFmtId="8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165" fontId="0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7" fontId="0" fillId="0" borderId="0" xfId="2" applyNumberFormat="1" applyFont="1" applyAlignment="1">
      <alignment horizontal="right"/>
    </xf>
    <xf numFmtId="10" fontId="0" fillId="0" borderId="0" xfId="2" applyNumberFormat="1" applyFont="1" applyAlignment="1">
      <alignment horizontal="right"/>
    </xf>
    <xf numFmtId="0" fontId="0" fillId="0" borderId="0" xfId="0" applyAlignment="1">
      <alignment horizontal="right"/>
    </xf>
    <xf numFmtId="165" fontId="1" fillId="0" borderId="0" xfId="0" applyNumberFormat="1" applyFont="1"/>
    <xf numFmtId="9" fontId="3" fillId="0" borderId="0" xfId="2" applyFont="1"/>
    <xf numFmtId="166" fontId="3" fillId="0" borderId="0" xfId="2" applyNumberFormat="1" applyFont="1"/>
    <xf numFmtId="0" fontId="1" fillId="0" borderId="0" xfId="0" applyFont="1" applyAlignment="1">
      <alignment horizontal="center" wrapText="1"/>
    </xf>
    <xf numFmtId="165" fontId="0" fillId="0" borderId="0" xfId="0" applyNumberFormat="1" applyFont="1"/>
    <xf numFmtId="165" fontId="1" fillId="0" borderId="0" xfId="0" applyNumberFormat="1" applyFont="1" applyBorder="1" applyAlignment="1">
      <alignment horizontal="right" vertical="center"/>
    </xf>
    <xf numFmtId="165" fontId="1" fillId="0" borderId="0" xfId="1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43" fontId="0" fillId="0" borderId="0" xfId="1" applyNumberFormat="1" applyFont="1"/>
    <xf numFmtId="0" fontId="1" fillId="0" borderId="0" xfId="1" applyNumberFormat="1" applyFont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3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ropertymetrics.com/blog/2014/09/30/how-not-to-use-npv-in-excel/" TargetMode="External"/><Relationship Id="rId1" Type="http://schemas.openxmlformats.org/officeDocument/2006/relationships/hyperlink" Target="http://www.propertymetrics.com/blog/2014/09/30/how-not-to-use-npv-in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48"/>
  <sheetViews>
    <sheetView tabSelected="1" workbookViewId="0">
      <selection activeCell="P8" sqref="P8"/>
    </sheetView>
  </sheetViews>
  <sheetFormatPr defaultRowHeight="15" x14ac:dyDescent="0.25"/>
  <cols>
    <col min="5" max="7" width="12.7109375" customWidth="1"/>
    <col min="8" max="8" width="14.28515625" bestFit="1" customWidth="1"/>
    <col min="9" max="11" width="12.7109375" customWidth="1"/>
    <col min="12" max="12" width="14.28515625" bestFit="1" customWidth="1"/>
    <col min="13" max="13" width="11.5703125" bestFit="1" customWidth="1"/>
    <col min="14" max="14" width="15.7109375" customWidth="1"/>
    <col min="15" max="15" width="12.28515625" bestFit="1" customWidth="1"/>
    <col min="16" max="16" width="16.85546875" bestFit="1" customWidth="1"/>
  </cols>
  <sheetData>
    <row r="1" spans="3:16" ht="18.75" x14ac:dyDescent="0.3">
      <c r="C1" s="45" t="s">
        <v>60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3:16" ht="18.75" x14ac:dyDescent="0.3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3:16" ht="18.75" x14ac:dyDescent="0.3">
      <c r="C3" s="15"/>
      <c r="G3" s="2" t="s">
        <v>6</v>
      </c>
      <c r="H3" s="1"/>
      <c r="I3" s="1"/>
      <c r="J3" s="1"/>
    </row>
    <row r="4" spans="3:16" ht="18.75" x14ac:dyDescent="0.3">
      <c r="C4" s="15"/>
      <c r="F4" s="2">
        <f>G4-1</f>
        <v>2015</v>
      </c>
      <c r="G4" s="2">
        <v>2016</v>
      </c>
      <c r="H4" s="2">
        <f>G4+1</f>
        <v>2017</v>
      </c>
      <c r="I4" s="2"/>
      <c r="J4" s="2"/>
    </row>
    <row r="5" spans="3:16" x14ac:dyDescent="0.25">
      <c r="E5" s="2" t="s">
        <v>17</v>
      </c>
      <c r="F5" s="2"/>
      <c r="G5" s="19">
        <v>6200000</v>
      </c>
      <c r="I5" s="47" t="s">
        <v>44</v>
      </c>
      <c r="J5" s="47"/>
      <c r="K5" s="47" t="s">
        <v>43</v>
      </c>
      <c r="L5" s="47"/>
      <c r="N5" s="1" t="s">
        <v>45</v>
      </c>
      <c r="P5" s="3">
        <v>3000000</v>
      </c>
    </row>
    <row r="6" spans="3:16" x14ac:dyDescent="0.25">
      <c r="E6" s="2" t="s">
        <v>18</v>
      </c>
      <c r="F6" s="18">
        <v>2300000</v>
      </c>
      <c r="G6" s="20">
        <v>2500000</v>
      </c>
      <c r="H6" s="1"/>
      <c r="I6" s="5" t="s">
        <v>10</v>
      </c>
      <c r="J6" s="32">
        <f>P5</f>
        <v>3000000</v>
      </c>
      <c r="K6" s="5" t="s">
        <v>10</v>
      </c>
      <c r="L6" s="27">
        <f>P13</f>
        <v>2534268.9029948576</v>
      </c>
      <c r="N6" s="1" t="s">
        <v>25</v>
      </c>
      <c r="P6" s="16">
        <v>0.1</v>
      </c>
    </row>
    <row r="7" spans="3:16" x14ac:dyDescent="0.25">
      <c r="E7" s="2" t="s">
        <v>19</v>
      </c>
      <c r="F7" s="18">
        <v>1400000</v>
      </c>
      <c r="G7" s="20">
        <v>1700000</v>
      </c>
      <c r="H7" s="1"/>
      <c r="I7" s="5" t="s">
        <v>11</v>
      </c>
      <c r="J7" s="32">
        <f>P17</f>
        <v>20000000</v>
      </c>
      <c r="K7" s="5" t="s">
        <v>11</v>
      </c>
      <c r="L7" s="27">
        <f>P17</f>
        <v>20000000</v>
      </c>
      <c r="N7" s="1" t="s">
        <v>26</v>
      </c>
      <c r="P7" s="16">
        <v>0.12</v>
      </c>
    </row>
    <row r="8" spans="3:16" x14ac:dyDescent="0.25">
      <c r="E8" s="2" t="s">
        <v>20</v>
      </c>
      <c r="F8" s="18">
        <v>4200000</v>
      </c>
      <c r="G8" s="20">
        <v>4500000</v>
      </c>
      <c r="H8" s="1"/>
      <c r="I8" s="5" t="s">
        <v>4</v>
      </c>
      <c r="J8" s="28">
        <f>J6+J7</f>
        <v>23000000</v>
      </c>
      <c r="K8" s="5" t="s">
        <v>4</v>
      </c>
      <c r="L8" s="28">
        <f>L6+L7</f>
        <v>22534268.902994856</v>
      </c>
      <c r="N8" s="1" t="s">
        <v>29</v>
      </c>
      <c r="P8">
        <v>30</v>
      </c>
    </row>
    <row r="9" spans="3:16" ht="18" x14ac:dyDescent="0.35">
      <c r="E9" s="2" t="s">
        <v>21</v>
      </c>
      <c r="F9" s="18"/>
      <c r="G9" s="20">
        <v>375000</v>
      </c>
      <c r="H9" s="1"/>
      <c r="I9" s="5" t="s">
        <v>38</v>
      </c>
      <c r="J9" s="29">
        <v>2.4500000000000001E-2</v>
      </c>
      <c r="K9" s="5" t="s">
        <v>38</v>
      </c>
      <c r="L9" s="29">
        <v>2.4500000000000001E-2</v>
      </c>
      <c r="N9" s="1" t="s">
        <v>31</v>
      </c>
      <c r="P9">
        <v>7</v>
      </c>
    </row>
    <row r="10" spans="3:16" ht="18" x14ac:dyDescent="0.35">
      <c r="E10" s="2" t="s">
        <v>12</v>
      </c>
      <c r="F10" s="2"/>
      <c r="G10" s="21">
        <v>0.35</v>
      </c>
      <c r="H10" s="1"/>
      <c r="I10" s="5" t="s">
        <v>39</v>
      </c>
      <c r="J10" s="30">
        <v>0.2</v>
      </c>
      <c r="K10" s="5" t="s">
        <v>39</v>
      </c>
      <c r="L10" s="30">
        <v>0.2</v>
      </c>
      <c r="N10" s="1" t="s">
        <v>30</v>
      </c>
      <c r="P10">
        <v>2</v>
      </c>
    </row>
    <row r="11" spans="3:16" x14ac:dyDescent="0.25">
      <c r="E11" s="2" t="s">
        <v>24</v>
      </c>
      <c r="F11" s="2"/>
      <c r="G11" s="20">
        <f>G5*(1-G10)</f>
        <v>4030000</v>
      </c>
      <c r="H11" s="1"/>
      <c r="I11" s="5" t="s">
        <v>40</v>
      </c>
      <c r="J11" s="31">
        <v>1.0900000000000001</v>
      </c>
      <c r="K11" s="5" t="s">
        <v>40</v>
      </c>
      <c r="L11" s="31">
        <v>1.0900000000000001</v>
      </c>
      <c r="N11" s="1" t="s">
        <v>28</v>
      </c>
      <c r="P11" s="3">
        <v>1000</v>
      </c>
    </row>
    <row r="12" spans="3:16" ht="18" x14ac:dyDescent="0.35">
      <c r="E12" s="2" t="s">
        <v>23</v>
      </c>
      <c r="F12" s="2"/>
      <c r="G12" s="22">
        <f>G11+G9-((G6-G7)-(F6-F7))-(G8-F8+G9)</f>
        <v>3830000</v>
      </c>
      <c r="H12" s="1"/>
      <c r="I12" s="5" t="s">
        <v>36</v>
      </c>
      <c r="J12" s="30">
        <f>J9+(J10-J9)*J11</f>
        <v>0.21579500000000001</v>
      </c>
      <c r="K12" s="5" t="s">
        <v>36</v>
      </c>
      <c r="L12" s="30">
        <f>L9+(L10-L9)*L11</f>
        <v>0.21579500000000001</v>
      </c>
      <c r="N12" s="1" t="s">
        <v>32</v>
      </c>
      <c r="P12" s="3">
        <f>((P11*P6/P10)*(1-1/(1+(P7/P10))^((P8-P9)*P10))/(P7/P10))+(1000/((1+(P7/P10))^((P8-P9)*P10)))</f>
        <v>844.75630099828595</v>
      </c>
    </row>
    <row r="13" spans="3:16" ht="18" x14ac:dyDescent="0.35">
      <c r="E13" s="2" t="s">
        <v>52</v>
      </c>
      <c r="G13" s="23">
        <v>0.1</v>
      </c>
      <c r="H13" s="1"/>
      <c r="I13" s="5" t="s">
        <v>37</v>
      </c>
      <c r="J13" s="33">
        <v>0.1</v>
      </c>
      <c r="K13" s="5" t="s">
        <v>37</v>
      </c>
      <c r="L13" s="30">
        <v>0.06</v>
      </c>
      <c r="N13" s="1" t="s">
        <v>27</v>
      </c>
      <c r="P13" s="3">
        <f>P12*P5/P11</f>
        <v>2534268.9029948576</v>
      </c>
    </row>
    <row r="14" spans="3:16" ht="18" x14ac:dyDescent="0.35">
      <c r="E14" s="2" t="s">
        <v>22</v>
      </c>
      <c r="F14" s="2"/>
      <c r="G14" s="23">
        <v>0.04</v>
      </c>
      <c r="H14" s="1"/>
      <c r="I14" s="5" t="s">
        <v>3</v>
      </c>
      <c r="J14" s="30">
        <f>J7/J8*J12+J6/J8*J13*(1-G10)</f>
        <v>0.19612608695652176</v>
      </c>
      <c r="K14" s="5" t="s">
        <v>3</v>
      </c>
      <c r="L14" s="30">
        <f>L7/L8*L12+L6/L8*L13*(1-G10)</f>
        <v>0.19591212416170603</v>
      </c>
      <c r="N14" s="1"/>
      <c r="P14" s="24"/>
    </row>
    <row r="15" spans="3:16" x14ac:dyDescent="0.25">
      <c r="E15" s="2" t="s">
        <v>41</v>
      </c>
      <c r="G15" s="22">
        <v>400000</v>
      </c>
      <c r="H15" s="1"/>
      <c r="I15" s="5" t="s">
        <v>42</v>
      </c>
      <c r="J15" s="34">
        <v>0.2</v>
      </c>
      <c r="K15" s="5" t="s">
        <v>42</v>
      </c>
      <c r="L15" s="30">
        <v>0.2</v>
      </c>
      <c r="N15" s="1" t="s">
        <v>33</v>
      </c>
      <c r="P15" s="25">
        <v>800000</v>
      </c>
    </row>
    <row r="16" spans="3:16" x14ac:dyDescent="0.25">
      <c r="N16" s="1" t="s">
        <v>34</v>
      </c>
      <c r="P16" s="3">
        <v>25</v>
      </c>
    </row>
    <row r="17" spans="3:16" x14ac:dyDescent="0.25">
      <c r="N17" s="1" t="s">
        <v>35</v>
      </c>
      <c r="P17" s="3">
        <f>P15*P16</f>
        <v>20000000</v>
      </c>
    </row>
    <row r="18" spans="3:16" x14ac:dyDescent="0.25">
      <c r="G18" s="47" t="s">
        <v>47</v>
      </c>
      <c r="H18" s="47"/>
      <c r="I18" s="47"/>
      <c r="J18" s="1"/>
    </row>
    <row r="19" spans="3:16" ht="30" x14ac:dyDescent="0.25">
      <c r="G19" s="35" t="s">
        <v>48</v>
      </c>
      <c r="H19" s="35" t="s">
        <v>49</v>
      </c>
      <c r="I19" s="35" t="s">
        <v>50</v>
      </c>
      <c r="J19" s="1"/>
    </row>
    <row r="20" spans="3:16" x14ac:dyDescent="0.25">
      <c r="E20" s="1" t="s">
        <v>46</v>
      </c>
      <c r="G20" s="25">
        <f>G12*(1+G14)/(J14-G14)</f>
        <v>25512712.690411873</v>
      </c>
      <c r="H20" s="25">
        <f>G12*(1+G14)/(L14-G14)</f>
        <v>25547724.536603574</v>
      </c>
      <c r="I20" s="25">
        <f>G12*(1+G14)/(J15-G14)</f>
        <v>24895000</v>
      </c>
      <c r="J20" s="1"/>
    </row>
    <row r="21" spans="3:16" x14ac:dyDescent="0.25">
      <c r="E21" s="1" t="s">
        <v>51</v>
      </c>
      <c r="G21" s="36">
        <f>J8-G15</f>
        <v>22600000</v>
      </c>
      <c r="H21" s="36">
        <f>L8-G15</f>
        <v>22134268.902994856</v>
      </c>
      <c r="I21" s="1"/>
      <c r="J21" s="1"/>
    </row>
    <row r="22" spans="3:16" x14ac:dyDescent="0.25">
      <c r="H22" s="1"/>
      <c r="I22" s="1"/>
      <c r="J22" s="1"/>
    </row>
    <row r="23" spans="3:16" x14ac:dyDescent="0.25">
      <c r="H23" s="1"/>
      <c r="I23" s="1"/>
      <c r="J23" s="1"/>
    </row>
    <row r="24" spans="3:16" x14ac:dyDescent="0.25">
      <c r="D24" t="s">
        <v>55</v>
      </c>
      <c r="H24" s="1"/>
      <c r="I24" s="1"/>
      <c r="J24" s="1"/>
    </row>
    <row r="25" spans="3:16" x14ac:dyDescent="0.25">
      <c r="H25" s="1"/>
      <c r="I25" s="1"/>
      <c r="J25" s="1"/>
    </row>
    <row r="26" spans="3:16" x14ac:dyDescent="0.25">
      <c r="E26" s="2"/>
      <c r="F26" s="2"/>
      <c r="G26" s="5"/>
      <c r="H26" s="1"/>
      <c r="I26" s="1"/>
      <c r="J26" s="1"/>
      <c r="M26" s="4"/>
    </row>
    <row r="27" spans="3:16" x14ac:dyDescent="0.25">
      <c r="E27" s="2"/>
      <c r="G27" s="47" t="s">
        <v>56</v>
      </c>
      <c r="H27" s="47"/>
      <c r="I27" s="47"/>
      <c r="J27" s="47" t="s">
        <v>57</v>
      </c>
      <c r="K27" s="47"/>
      <c r="L27" s="47"/>
      <c r="M27" s="47" t="s">
        <v>58</v>
      </c>
      <c r="N27" s="47"/>
      <c r="O27" s="47"/>
    </row>
    <row r="29" spans="3:16" ht="30" x14ac:dyDescent="0.25">
      <c r="C29" s="8"/>
      <c r="D29" s="6" t="s">
        <v>9</v>
      </c>
      <c r="E29" s="7" t="s">
        <v>0</v>
      </c>
      <c r="F29" s="10" t="s">
        <v>23</v>
      </c>
      <c r="G29" s="11" t="s">
        <v>1</v>
      </c>
      <c r="H29" s="11" t="s">
        <v>2</v>
      </c>
      <c r="I29" s="43" t="s">
        <v>59</v>
      </c>
      <c r="J29" s="11" t="s">
        <v>1</v>
      </c>
      <c r="K29" s="11" t="s">
        <v>2</v>
      </c>
      <c r="L29" s="43" t="s">
        <v>59</v>
      </c>
      <c r="M29" s="11" t="s">
        <v>1</v>
      </c>
      <c r="N29" s="11" t="s">
        <v>2</v>
      </c>
      <c r="O29" s="43" t="s">
        <v>59</v>
      </c>
    </row>
    <row r="30" spans="3:16" x14ac:dyDescent="0.25">
      <c r="C30" s="1"/>
      <c r="D30" s="6">
        <v>0</v>
      </c>
      <c r="E30" s="41">
        <f>G4</f>
        <v>2016</v>
      </c>
      <c r="F30" s="37"/>
      <c r="G30" s="11"/>
      <c r="H30" s="11"/>
      <c r="I30" s="26">
        <f>-H20</f>
        <v>-25547724.536603574</v>
      </c>
      <c r="J30" s="11"/>
      <c r="L30" s="42">
        <f>-G20</f>
        <v>-25512712.690411873</v>
      </c>
      <c r="M30" s="11"/>
      <c r="O30" s="26">
        <f>-I20</f>
        <v>-24895000</v>
      </c>
    </row>
    <row r="31" spans="3:16" x14ac:dyDescent="0.25">
      <c r="C31" s="46" t="s">
        <v>7</v>
      </c>
      <c r="D31" s="5">
        <v>1</v>
      </c>
      <c r="E31" s="7">
        <f>E30+1</f>
        <v>2017</v>
      </c>
      <c r="F31" s="38">
        <f>$G$12*(1+G13)</f>
        <v>4213000</v>
      </c>
      <c r="G31" s="38">
        <f>($F31/(1+$L$14)^$D31)</f>
        <v>3522834.0903000464</v>
      </c>
      <c r="H31" s="39">
        <f>G31</f>
        <v>3522834.0903000464</v>
      </c>
      <c r="I31" s="26">
        <f>$F31</f>
        <v>4213000</v>
      </c>
      <c r="J31" s="38">
        <f>($F31/(1+$J$14)^$D31)</f>
        <v>3522203.9264437002</v>
      </c>
      <c r="K31" s="39">
        <f>J31</f>
        <v>3522203.9264437002</v>
      </c>
      <c r="L31" s="26">
        <f>$F31</f>
        <v>4213000</v>
      </c>
      <c r="M31" s="38">
        <f>($F31/(1+$J$15)^$D31)</f>
        <v>3510833.3333333335</v>
      </c>
      <c r="N31" s="39">
        <f>M31</f>
        <v>3510833.3333333335</v>
      </c>
      <c r="O31" s="26">
        <f>$F31</f>
        <v>4213000</v>
      </c>
    </row>
    <row r="32" spans="3:16" x14ac:dyDescent="0.25">
      <c r="C32" s="46"/>
      <c r="D32" s="5">
        <f>1+D31</f>
        <v>2</v>
      </c>
      <c r="E32" s="7">
        <f t="shared" ref="E32:E36" si="0">E31+1</f>
        <v>2018</v>
      </c>
      <c r="F32" s="38">
        <f>$F$31*(1+$G$13)</f>
        <v>4634300</v>
      </c>
      <c r="G32" s="38">
        <f>($F32/(1+$L$14)^$D32)</f>
        <v>3240302.8793159672</v>
      </c>
      <c r="H32" s="39">
        <f>H31+G32</f>
        <v>6763136.9696160136</v>
      </c>
      <c r="I32" s="26">
        <f t="shared" ref="I32:I34" si="1">$F32</f>
        <v>4634300</v>
      </c>
      <c r="J32" s="38">
        <f>($F32/(1+$J$14)^$D32)</f>
        <v>3239143.733539274</v>
      </c>
      <c r="K32" s="39">
        <f>K31+J32</f>
        <v>6761347.6599829737</v>
      </c>
      <c r="L32" s="26">
        <f t="shared" ref="L32:L34" si="2">$F32</f>
        <v>4634300</v>
      </c>
      <c r="M32" s="38">
        <f>($F32/(1+$J$15)^$D32)</f>
        <v>3218263.888888889</v>
      </c>
      <c r="N32" s="39">
        <f>N31+M32</f>
        <v>6729097.222222222</v>
      </c>
      <c r="O32" s="26">
        <f t="shared" ref="O32:O34" si="3">$F32</f>
        <v>4634300</v>
      </c>
    </row>
    <row r="33" spans="3:15" x14ac:dyDescent="0.25">
      <c r="C33" s="46"/>
      <c r="D33" s="5">
        <f t="shared" ref="D33:D36" si="4">1+D32</f>
        <v>3</v>
      </c>
      <c r="E33" s="7">
        <f t="shared" si="0"/>
        <v>2019</v>
      </c>
      <c r="F33" s="38">
        <f>$F$31*(1+$G$13)</f>
        <v>4634300</v>
      </c>
      <c r="G33" s="38">
        <f>($F33/(1+$L$14)^$D33)</f>
        <v>2709482.4225377846</v>
      </c>
      <c r="H33" s="39">
        <f>H32+G33</f>
        <v>9472619.3921537977</v>
      </c>
      <c r="I33" s="26">
        <f t="shared" si="1"/>
        <v>4634300</v>
      </c>
      <c r="J33" s="38">
        <f>($F33/(1+$J$14)^$D33)</f>
        <v>2708028.6675973269</v>
      </c>
      <c r="K33" s="39">
        <f>K32+J33</f>
        <v>9469376.3275803011</v>
      </c>
      <c r="L33" s="26">
        <f t="shared" si="2"/>
        <v>4634300</v>
      </c>
      <c r="M33" s="38">
        <f>($F33/(1+$J$15)^$D33)</f>
        <v>2681886.5740740742</v>
      </c>
      <c r="N33" s="39">
        <f>N32+M33</f>
        <v>9410983.7962962966</v>
      </c>
      <c r="O33" s="26">
        <f t="shared" si="3"/>
        <v>4634300</v>
      </c>
    </row>
    <row r="34" spans="3:15" x14ac:dyDescent="0.25">
      <c r="C34" s="46"/>
      <c r="D34" s="5">
        <f t="shared" si="4"/>
        <v>4</v>
      </c>
      <c r="E34" s="7">
        <f t="shared" si="0"/>
        <v>2020</v>
      </c>
      <c r="F34" s="38">
        <f>$F$31*(1+$G$13)</f>
        <v>4634300</v>
      </c>
      <c r="G34" s="38">
        <f>($F34/(1+$L$14)^$D34)</f>
        <v>2265619.9964834703</v>
      </c>
      <c r="H34" s="39">
        <f>H33+G34</f>
        <v>11738239.388637267</v>
      </c>
      <c r="I34" s="26">
        <f t="shared" si="1"/>
        <v>4634300</v>
      </c>
      <c r="J34" s="38">
        <f>($F34/(1+$J$14)^$D34)</f>
        <v>2263999.3367988146</v>
      </c>
      <c r="K34" s="39">
        <f>K33+J34</f>
        <v>11733375.664379116</v>
      </c>
      <c r="L34" s="26">
        <f t="shared" si="2"/>
        <v>4634300</v>
      </c>
      <c r="M34" s="38">
        <f>($F34/(1+$J$15)^$D34)</f>
        <v>2234905.478395062</v>
      </c>
      <c r="N34" s="39">
        <f>N33+M34</f>
        <v>11645889.274691358</v>
      </c>
      <c r="O34" s="26">
        <f t="shared" si="3"/>
        <v>4634300</v>
      </c>
    </row>
    <row r="35" spans="3:15" x14ac:dyDescent="0.25">
      <c r="C35" s="46"/>
      <c r="D35" s="5">
        <f t="shared" si="4"/>
        <v>5</v>
      </c>
      <c r="E35" s="7">
        <f t="shared" si="0"/>
        <v>2021</v>
      </c>
      <c r="F35" s="38">
        <f>$F$31*(1+$G$13)</f>
        <v>4634300</v>
      </c>
      <c r="G35" s="38">
        <f>($F35/(1+$L$14)^$D35)</f>
        <v>1894470.2965291813</v>
      </c>
      <c r="H35" s="39">
        <f>H34+G35</f>
        <v>13632709.685166448</v>
      </c>
      <c r="I35" s="26">
        <f>$F35+H39</f>
        <v>35547046.68929033</v>
      </c>
      <c r="J35" s="38">
        <f>($F35/(1+$J$14)^$D35)</f>
        <v>1892776.4902774079</v>
      </c>
      <c r="K35" s="39">
        <f>K34+J35</f>
        <v>13626152.154656524</v>
      </c>
      <c r="L35" s="26">
        <f>$F35+K39</f>
        <v>35504682.355398372</v>
      </c>
      <c r="M35" s="38">
        <f>($F35/(1+$J$15)^$D35)</f>
        <v>1862421.2319958848</v>
      </c>
      <c r="N35" s="39">
        <f>N34+M35</f>
        <v>13508310.506687243</v>
      </c>
      <c r="O35" s="26">
        <f>$F35+N39</f>
        <v>34757250</v>
      </c>
    </row>
    <row r="36" spans="3:15" ht="18" x14ac:dyDescent="0.35">
      <c r="C36" s="1" t="s">
        <v>8</v>
      </c>
      <c r="D36" s="5">
        <f t="shared" si="4"/>
        <v>6</v>
      </c>
      <c r="E36" s="7">
        <f t="shared" si="0"/>
        <v>2022</v>
      </c>
      <c r="F36" s="38">
        <f>F35*(1+G14)</f>
        <v>4819672</v>
      </c>
      <c r="G36" s="38"/>
      <c r="H36" s="12"/>
      <c r="I36" s="26"/>
      <c r="J36" s="12"/>
      <c r="K36" s="13"/>
      <c r="L36" s="26"/>
      <c r="M36" s="12"/>
      <c r="N36" s="13"/>
      <c r="O36" s="26"/>
    </row>
    <row r="37" spans="3:15" x14ac:dyDescent="0.25">
      <c r="E37" s="7"/>
      <c r="F37" s="8"/>
      <c r="G37" s="8"/>
      <c r="H37" s="8"/>
      <c r="J37" s="8"/>
      <c r="K37" s="8"/>
      <c r="L37" s="8"/>
      <c r="M37" s="8"/>
      <c r="N37" s="8"/>
    </row>
    <row r="38" spans="3:15" ht="18" x14ac:dyDescent="0.35">
      <c r="G38" s="2" t="s">
        <v>1</v>
      </c>
      <c r="H38" s="25">
        <f>H35</f>
        <v>13632709.685166448</v>
      </c>
      <c r="K38" s="25">
        <f>K35</f>
        <v>13626152.154656524</v>
      </c>
      <c r="N38" s="25">
        <f>N35</f>
        <v>13508310.506687243</v>
      </c>
    </row>
    <row r="39" spans="3:15" x14ac:dyDescent="0.25">
      <c r="G39" s="2" t="s">
        <v>53</v>
      </c>
      <c r="H39" s="25">
        <f>$F36/(L14-$G14)</f>
        <v>30912746.689290326</v>
      </c>
      <c r="K39" s="25">
        <f>$F36/(J14-$G14)</f>
        <v>30870382.355398368</v>
      </c>
      <c r="N39" s="25">
        <f>$F36/(J15-$G14)</f>
        <v>30122950</v>
      </c>
    </row>
    <row r="40" spans="3:15" ht="18" x14ac:dyDescent="0.35">
      <c r="G40" s="2" t="s">
        <v>5</v>
      </c>
      <c r="H40" s="25">
        <f>H39/((1+L14)^D35)</f>
        <v>12636920.438252015</v>
      </c>
      <c r="K40" s="25">
        <f>K39/((1+J14)^D35)</f>
        <v>12608319.26465109</v>
      </c>
      <c r="N40" s="25">
        <f>N39/((1+J14)^D35)</f>
        <v>12303047.186803151</v>
      </c>
    </row>
    <row r="41" spans="3:15" x14ac:dyDescent="0.25">
      <c r="G41" s="2" t="s">
        <v>54</v>
      </c>
      <c r="H41" s="25">
        <f>H38+H40</f>
        <v>26269630.123418465</v>
      </c>
      <c r="K41" s="25">
        <f>K38+K40</f>
        <v>26234471.419307612</v>
      </c>
      <c r="N41" s="25">
        <f>N38+N40</f>
        <v>25811357.693490393</v>
      </c>
    </row>
    <row r="42" spans="3:15" x14ac:dyDescent="0.25">
      <c r="H42" s="25"/>
    </row>
    <row r="43" spans="3:15" x14ac:dyDescent="0.25">
      <c r="G43" s="2" t="s">
        <v>13</v>
      </c>
      <c r="H43" s="25">
        <f>NPV(L14,I31:I35)-H20</f>
        <v>721905.58681489527</v>
      </c>
      <c r="I43" s="3"/>
      <c r="J43" s="3"/>
      <c r="K43" s="40">
        <f>NPV(J14,L31:L35)-G20</f>
        <v>721758.72889574245</v>
      </c>
      <c r="N43" s="25">
        <f>NPV(L15,O31:O35)-I20</f>
        <v>719048.51466049999</v>
      </c>
    </row>
    <row r="44" spans="3:15" x14ac:dyDescent="0.25">
      <c r="G44" s="2" t="s">
        <v>14</v>
      </c>
      <c r="H44" s="16">
        <f>IRR(I30:I35)</f>
        <v>0.20473145536977411</v>
      </c>
      <c r="I44" s="9"/>
      <c r="J44" s="9"/>
      <c r="K44" s="16">
        <f>IRR(L30:L35)</f>
        <v>0.20496005660245631</v>
      </c>
      <c r="N44" s="16">
        <f>IRR(O30:O35)</f>
        <v>0.20909938099458669</v>
      </c>
    </row>
    <row r="45" spans="3:15" x14ac:dyDescent="0.25">
      <c r="H45" s="25"/>
    </row>
    <row r="47" spans="3:15" x14ac:dyDescent="0.25">
      <c r="E47" s="44" t="s">
        <v>15</v>
      </c>
      <c r="F47" s="44"/>
      <c r="G47" s="44"/>
      <c r="H47" s="44"/>
      <c r="I47" s="44"/>
      <c r="J47" s="44"/>
      <c r="K47" s="44"/>
      <c r="L47" s="44"/>
      <c r="M47" s="44"/>
    </row>
    <row r="48" spans="3:15" x14ac:dyDescent="0.25">
      <c r="E48" s="14" t="s">
        <v>16</v>
      </c>
      <c r="F48" s="14"/>
    </row>
  </sheetData>
  <mergeCells count="9">
    <mergeCell ref="C31:C35"/>
    <mergeCell ref="E47:M47"/>
    <mergeCell ref="I5:J5"/>
    <mergeCell ref="G18:I18"/>
    <mergeCell ref="J27:L27"/>
    <mergeCell ref="M27:O27"/>
    <mergeCell ref="G27:I27"/>
    <mergeCell ref="C1:P1"/>
    <mergeCell ref="K5:L5"/>
  </mergeCells>
  <hyperlinks>
    <hyperlink ref="E48" r:id="rId1"/>
    <hyperlink ref="E47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MKT, BOOK, HURDLE</vt:lpstr>
    </vt:vector>
  </TitlesOfParts>
  <Company>Westminster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Anyone</dc:creator>
  <cp:lastModifiedBy>Anyone</cp:lastModifiedBy>
  <cp:lastPrinted>2016-02-15T21:39:56Z</cp:lastPrinted>
  <dcterms:created xsi:type="dcterms:W3CDTF">2015-09-01T21:21:28Z</dcterms:created>
  <dcterms:modified xsi:type="dcterms:W3CDTF">2017-08-22T13:16:10Z</dcterms:modified>
</cp:coreProperties>
</file>