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askell\OneDrive\ICP - ICC\ICP - Market Studies\Whole Foods 11-2016\"/>
    </mc:Choice>
  </mc:AlternateContent>
  <bookViews>
    <workbookView xWindow="0" yWindow="0" windowWidth="28800" windowHeight="12435" activeTab="1"/>
  </bookViews>
  <sheets>
    <sheet name="Financial Stmts" sheetId="1" r:id="rId1"/>
    <sheet name="Concensus Estimates" sheetId="2" r:id="rId2"/>
    <sheet name="Tax Estimator" sheetId="4" r:id="rId3"/>
    <sheet name="Valuation g = IR x ROIC" sheetId="3" r:id="rId4"/>
    <sheet name="Valuation g = % ∆ GDP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5" l="1"/>
  <c r="I26" i="5" s="1"/>
  <c r="D35" i="5"/>
  <c r="L34" i="5"/>
  <c r="H34" i="5"/>
  <c r="L33" i="5"/>
  <c r="H33" i="5"/>
  <c r="L32" i="5"/>
  <c r="H32" i="5"/>
  <c r="C32" i="5"/>
  <c r="C33" i="5" s="1"/>
  <c r="C34" i="5" s="1"/>
  <c r="C35" i="5" s="1"/>
  <c r="L31" i="5"/>
  <c r="M31" i="5" s="1"/>
  <c r="N31" i="5" s="1"/>
  <c r="I31" i="5"/>
  <c r="J31" i="5" s="1"/>
  <c r="H31" i="5"/>
  <c r="D31" i="5"/>
  <c r="E31" i="5" s="1"/>
  <c r="F31" i="5" s="1"/>
  <c r="N26" i="5"/>
  <c r="O26" i="5" s="1"/>
  <c r="E26" i="5"/>
  <c r="P25" i="5"/>
  <c r="P26" i="5" s="1"/>
  <c r="Q26" i="5" s="1"/>
  <c r="N25" i="5"/>
  <c r="E25" i="5"/>
  <c r="O25" i="5" s="1"/>
  <c r="Q24" i="5"/>
  <c r="N24" i="5"/>
  <c r="E24" i="5"/>
  <c r="O24" i="5" s="1"/>
  <c r="Q23" i="5"/>
  <c r="N23" i="5"/>
  <c r="O23" i="5" s="1"/>
  <c r="E23" i="5"/>
  <c r="D32" i="5" s="1"/>
  <c r="Q22" i="5"/>
  <c r="O22" i="5"/>
  <c r="N22" i="5"/>
  <c r="E22" i="5"/>
  <c r="C22" i="5"/>
  <c r="C23" i="5" s="1"/>
  <c r="C24" i="5" s="1"/>
  <c r="N21" i="5"/>
  <c r="E21" i="5"/>
  <c r="O21" i="5" s="1"/>
  <c r="N20" i="5"/>
  <c r="O20" i="5" s="1"/>
  <c r="E20" i="5"/>
  <c r="O19" i="5"/>
  <c r="N19" i="5"/>
  <c r="E19" i="5"/>
  <c r="P14" i="5"/>
  <c r="P20" i="5" s="1"/>
  <c r="Q20" i="5" s="1"/>
  <c r="Q11" i="5"/>
  <c r="Q14" i="5" s="1"/>
  <c r="P19" i="5" s="1"/>
  <c r="Q19" i="5" s="1"/>
  <c r="P11" i="5"/>
  <c r="O11" i="5"/>
  <c r="O14" i="5" s="1"/>
  <c r="P21" i="5" s="1"/>
  <c r="Q21" i="5" s="1"/>
  <c r="E10" i="5"/>
  <c r="E9" i="5"/>
  <c r="E8" i="5"/>
  <c r="J56" i="3"/>
  <c r="J55" i="3"/>
  <c r="J54" i="3"/>
  <c r="J49" i="3"/>
  <c r="J50" i="3" s="1"/>
  <c r="J51" i="3" s="1"/>
  <c r="J46" i="3"/>
  <c r="J40" i="3"/>
  <c r="J45" i="3"/>
  <c r="J44" i="3"/>
  <c r="J41" i="3"/>
  <c r="J39" i="3"/>
  <c r="J38" i="3"/>
  <c r="J33" i="3"/>
  <c r="J34" i="3" s="1"/>
  <c r="J35" i="3" s="1"/>
  <c r="J32" i="3"/>
  <c r="N35" i="3"/>
  <c r="N34" i="3"/>
  <c r="N33" i="3"/>
  <c r="N32" i="3"/>
  <c r="N31" i="3"/>
  <c r="M35" i="3"/>
  <c r="M34" i="3"/>
  <c r="M33" i="3"/>
  <c r="M32" i="3"/>
  <c r="M31" i="3"/>
  <c r="J31" i="3"/>
  <c r="I35" i="3"/>
  <c r="I34" i="3"/>
  <c r="I33" i="3"/>
  <c r="I32" i="3"/>
  <c r="I31" i="3"/>
  <c r="H35" i="3"/>
  <c r="H34" i="3"/>
  <c r="H33" i="3"/>
  <c r="H32" i="3"/>
  <c r="H31" i="3"/>
  <c r="H14" i="3"/>
  <c r="F54" i="3" s="1"/>
  <c r="F39" i="3"/>
  <c r="E10" i="3"/>
  <c r="F40" i="3"/>
  <c r="M33" i="5" l="1"/>
  <c r="C25" i="5"/>
  <c r="I33" i="5"/>
  <c r="E32" i="5"/>
  <c r="F32" i="5" s="1"/>
  <c r="F33" i="5" s="1"/>
  <c r="F34" i="5" s="1"/>
  <c r="F35" i="5" s="1"/>
  <c r="F38" i="5" s="1"/>
  <c r="I32" i="5"/>
  <c r="I34" i="5"/>
  <c r="J32" i="5"/>
  <c r="J33" i="5" s="1"/>
  <c r="J34" i="5" s="1"/>
  <c r="M32" i="5"/>
  <c r="N32" i="5" s="1"/>
  <c r="M34" i="5"/>
  <c r="H35" i="5"/>
  <c r="I35" i="5" s="1"/>
  <c r="L35" i="5"/>
  <c r="M35" i="5" s="1"/>
  <c r="F39" i="5"/>
  <c r="F40" i="5" s="1"/>
  <c r="D33" i="5"/>
  <c r="E33" i="5" s="1"/>
  <c r="Q25" i="5"/>
  <c r="E35" i="5"/>
  <c r="D34" i="5"/>
  <c r="E34" i="5" s="1"/>
  <c r="N33" i="5" l="1"/>
  <c r="N34" i="5" s="1"/>
  <c r="N35" i="5"/>
  <c r="N38" i="5" s="1"/>
  <c r="J35" i="5"/>
  <c r="J38" i="5" s="1"/>
  <c r="F41" i="5"/>
  <c r="J49" i="5"/>
  <c r="J50" i="5" s="1"/>
  <c r="J51" i="5" s="1"/>
  <c r="N44" i="5"/>
  <c r="N45" i="5" s="1"/>
  <c r="F49" i="5"/>
  <c r="F50" i="5" s="1"/>
  <c r="F51" i="5" s="1"/>
  <c r="J44" i="5"/>
  <c r="J45" i="5" s="1"/>
  <c r="J46" i="5" s="1"/>
  <c r="N39" i="5"/>
  <c r="N40" i="5" s="1"/>
  <c r="H14" i="5"/>
  <c r="F54" i="5" s="1"/>
  <c r="F55" i="5" s="1"/>
  <c r="F56" i="5" s="1"/>
  <c r="F44" i="5"/>
  <c r="F45" i="5" s="1"/>
  <c r="F46" i="5" s="1"/>
  <c r="N49" i="5"/>
  <c r="N50" i="5" s="1"/>
  <c r="J39" i="5"/>
  <c r="J40" i="5" s="1"/>
  <c r="J41" i="5" s="1"/>
  <c r="N41" i="5" l="1"/>
  <c r="J54" i="5"/>
  <c r="J55" i="5" s="1"/>
  <c r="J56" i="5" s="1"/>
  <c r="N51" i="5"/>
  <c r="N46" i="5"/>
  <c r="N54" i="5"/>
  <c r="N55" i="5" s="1"/>
  <c r="N56" i="5" s="1"/>
  <c r="O54" i="3" l="1"/>
  <c r="F49" i="3"/>
  <c r="F44" i="3"/>
  <c r="O55" i="3" l="1"/>
  <c r="O50" i="3"/>
  <c r="O49" i="3"/>
  <c r="O45" i="3"/>
  <c r="O44" i="3"/>
  <c r="E12" i="3"/>
  <c r="C32" i="3"/>
  <c r="C33" i="3" s="1"/>
  <c r="C34" i="3" s="1"/>
  <c r="C35" i="3" s="1"/>
  <c r="N117" i="1"/>
  <c r="M117" i="1"/>
  <c r="L117" i="1"/>
  <c r="K117" i="1"/>
  <c r="J117" i="1"/>
  <c r="I117" i="1"/>
  <c r="H117" i="1"/>
  <c r="G117" i="1"/>
  <c r="F117" i="1"/>
  <c r="E117" i="1"/>
  <c r="F104" i="1"/>
  <c r="G104" i="1" s="1"/>
  <c r="H104" i="1" s="1"/>
  <c r="I104" i="1" s="1"/>
  <c r="J104" i="1" s="1"/>
  <c r="K104" i="1" s="1"/>
  <c r="L104" i="1" s="1"/>
  <c r="M104" i="1" s="1"/>
  <c r="N104" i="1" s="1"/>
  <c r="F90" i="1"/>
  <c r="G90" i="1" s="1"/>
  <c r="H90" i="1" s="1"/>
  <c r="I90" i="1" s="1"/>
  <c r="J90" i="1" s="1"/>
  <c r="K90" i="1" s="1"/>
  <c r="L90" i="1" s="1"/>
  <c r="M90" i="1" s="1"/>
  <c r="N90" i="1" s="1"/>
  <c r="E73" i="2"/>
  <c r="D73" i="2"/>
  <c r="C73" i="2"/>
  <c r="B73" i="2"/>
  <c r="F40" i="2"/>
  <c r="E40" i="2"/>
  <c r="D40" i="2"/>
  <c r="C40" i="2"/>
  <c r="B40" i="2"/>
  <c r="N48" i="1"/>
  <c r="M48" i="1"/>
  <c r="L48" i="1"/>
  <c r="K48" i="1"/>
  <c r="J48" i="1"/>
  <c r="I48" i="1"/>
  <c r="H48" i="1"/>
  <c r="G48" i="1"/>
  <c r="F48" i="1"/>
  <c r="E48" i="1"/>
  <c r="N26" i="3"/>
  <c r="N21" i="3"/>
  <c r="G32" i="2"/>
  <c r="F32" i="2"/>
  <c r="E32" i="2"/>
  <c r="D32" i="2"/>
  <c r="C32" i="2"/>
  <c r="B32" i="2"/>
  <c r="G22" i="2"/>
  <c r="F22" i="2"/>
  <c r="E22" i="2"/>
  <c r="D22" i="2"/>
  <c r="C22" i="2"/>
  <c r="B22" i="2"/>
  <c r="G24" i="2"/>
  <c r="F24" i="2"/>
  <c r="E24" i="2"/>
  <c r="D24" i="2"/>
  <c r="C24" i="2"/>
  <c r="B24" i="2"/>
  <c r="E9" i="3"/>
  <c r="E8" i="3"/>
  <c r="C42" i="2"/>
  <c r="D42" i="2" s="1"/>
  <c r="E42" i="2" s="1"/>
  <c r="F42" i="2" s="1"/>
  <c r="G42" i="2" s="1"/>
  <c r="C29" i="2"/>
  <c r="D29" i="2" s="1"/>
  <c r="E29" i="2" s="1"/>
  <c r="F29" i="2" s="1"/>
  <c r="G29" i="2" s="1"/>
  <c r="C17" i="2"/>
  <c r="D17" i="2" s="1"/>
  <c r="E17" i="2" s="1"/>
  <c r="F17" i="2" s="1"/>
  <c r="G17" i="2" s="1"/>
  <c r="C50" i="2"/>
  <c r="D50" i="2" s="1"/>
  <c r="E50" i="2" s="1"/>
  <c r="F50" i="2" s="1"/>
  <c r="G50" i="2" s="1"/>
  <c r="N66" i="1" l="1"/>
  <c r="M66" i="1"/>
  <c r="L66" i="1"/>
  <c r="K66" i="1"/>
  <c r="J66" i="1"/>
  <c r="I66" i="1"/>
  <c r="H66" i="1"/>
  <c r="G66" i="1"/>
  <c r="F66" i="1"/>
  <c r="E66" i="1"/>
  <c r="E68" i="1" s="1"/>
  <c r="E74" i="1" s="1"/>
  <c r="N68" i="1"/>
  <c r="N74" i="1" s="1"/>
  <c r="M68" i="1"/>
  <c r="M74" i="1" s="1"/>
  <c r="L68" i="1"/>
  <c r="L74" i="1" s="1"/>
  <c r="K68" i="1"/>
  <c r="K74" i="1" s="1"/>
  <c r="J68" i="1"/>
  <c r="J74" i="1" s="1"/>
  <c r="I68" i="1"/>
  <c r="I74" i="1" s="1"/>
  <c r="H68" i="1"/>
  <c r="H74" i="1" s="1"/>
  <c r="G68" i="1"/>
  <c r="G74" i="1" s="1"/>
  <c r="F68" i="1"/>
  <c r="F74" i="1" s="1"/>
  <c r="F58" i="1"/>
  <c r="G58" i="1" s="1"/>
  <c r="H58" i="1" s="1"/>
  <c r="I58" i="1" s="1"/>
  <c r="J58" i="1" s="1"/>
  <c r="K58" i="1" s="1"/>
  <c r="L58" i="1" s="1"/>
  <c r="M58" i="1" s="1"/>
  <c r="N58" i="1" s="1"/>
  <c r="N44" i="1"/>
  <c r="M44" i="1"/>
  <c r="L44" i="1"/>
  <c r="K44" i="1"/>
  <c r="J44" i="1"/>
  <c r="I44" i="1"/>
  <c r="H44" i="1"/>
  <c r="G44" i="1"/>
  <c r="F44" i="1"/>
  <c r="E44" i="1"/>
  <c r="N35" i="1"/>
  <c r="M35" i="1"/>
  <c r="L35" i="1"/>
  <c r="K35" i="1"/>
  <c r="J35" i="1"/>
  <c r="I35" i="1"/>
  <c r="H35" i="1"/>
  <c r="G35" i="1"/>
  <c r="F35" i="1"/>
  <c r="E35" i="1"/>
  <c r="N30" i="1"/>
  <c r="M30" i="1"/>
  <c r="L30" i="1"/>
  <c r="K30" i="1"/>
  <c r="J30" i="1"/>
  <c r="I30" i="1"/>
  <c r="H30" i="1"/>
  <c r="G30" i="1"/>
  <c r="F30" i="1"/>
  <c r="E30" i="1"/>
  <c r="N21" i="1"/>
  <c r="M21" i="1"/>
  <c r="L21" i="1"/>
  <c r="K21" i="1"/>
  <c r="J21" i="1"/>
  <c r="I21" i="1"/>
  <c r="H21" i="1"/>
  <c r="G21" i="1"/>
  <c r="F21" i="1"/>
  <c r="E21" i="1"/>
  <c r="N12" i="1"/>
  <c r="M12" i="1"/>
  <c r="L12" i="1"/>
  <c r="K12" i="1"/>
  <c r="J12" i="1"/>
  <c r="I12" i="1"/>
  <c r="H12" i="1"/>
  <c r="G12" i="1"/>
  <c r="F12" i="1"/>
  <c r="E12" i="1"/>
  <c r="F7" i="1"/>
  <c r="G7" i="1" s="1"/>
  <c r="H7" i="1" s="1"/>
  <c r="I7" i="1" s="1"/>
  <c r="J7" i="1" s="1"/>
  <c r="K7" i="1" s="1"/>
  <c r="L7" i="1" s="1"/>
  <c r="M7" i="1" s="1"/>
  <c r="N7" i="1" s="1"/>
  <c r="F78" i="1" l="1"/>
  <c r="F82" i="1" s="1"/>
  <c r="F84" i="1"/>
  <c r="N78" i="1"/>
  <c r="N82" i="1" s="1"/>
  <c r="N84" i="1"/>
  <c r="G78" i="1"/>
  <c r="G82" i="1" s="1"/>
  <c r="G84" i="1"/>
  <c r="K78" i="1"/>
  <c r="K82" i="1" s="1"/>
  <c r="K84" i="1"/>
  <c r="H78" i="1"/>
  <c r="H82" i="1" s="1"/>
  <c r="H84" i="1"/>
  <c r="L78" i="1"/>
  <c r="L82" i="1" s="1"/>
  <c r="L84" i="1"/>
  <c r="J78" i="1"/>
  <c r="J82" i="1" s="1"/>
  <c r="J84" i="1"/>
  <c r="E78" i="1"/>
  <c r="E82" i="1" s="1"/>
  <c r="E84" i="1"/>
  <c r="I78" i="1"/>
  <c r="I82" i="1" s="1"/>
  <c r="I84" i="1"/>
  <c r="M78" i="1"/>
  <c r="M82" i="1" s="1"/>
  <c r="M84" i="1"/>
  <c r="E23" i="1"/>
  <c r="G37" i="1"/>
  <c r="G46" i="1" s="1"/>
  <c r="K37" i="1"/>
  <c r="K46" i="1" s="1"/>
  <c r="H37" i="1"/>
  <c r="H46" i="1" s="1"/>
  <c r="L37" i="1"/>
  <c r="L46" i="1" s="1"/>
  <c r="E37" i="1"/>
  <c r="E46" i="1" s="1"/>
  <c r="I37" i="1"/>
  <c r="I46" i="1" s="1"/>
  <c r="M37" i="1"/>
  <c r="M46" i="1" s="1"/>
  <c r="F37" i="1"/>
  <c r="F46" i="1" s="1"/>
  <c r="J37" i="1"/>
  <c r="J46" i="1" s="1"/>
  <c r="N37" i="1"/>
  <c r="N46" i="1" s="1"/>
  <c r="O11" i="3"/>
  <c r="O14" i="3" s="1"/>
  <c r="P21" i="3" s="1"/>
  <c r="Q21" i="3" s="1"/>
  <c r="Q11" i="3"/>
  <c r="Q14" i="3" s="1"/>
  <c r="P19" i="3" s="1"/>
  <c r="Q19" i="3" s="1"/>
  <c r="P11" i="3"/>
  <c r="P14" i="3" s="1"/>
  <c r="P20" i="3" s="1"/>
  <c r="Q20" i="3"/>
  <c r="N20" i="3"/>
  <c r="E11" i="3" s="1"/>
  <c r="N19" i="3"/>
  <c r="E21" i="3"/>
  <c r="O21" i="3" s="1"/>
  <c r="E20" i="3"/>
  <c r="E19" i="3"/>
  <c r="O19" i="3" s="1"/>
  <c r="F50" i="3" l="1"/>
  <c r="F45" i="3"/>
  <c r="O39" i="3"/>
  <c r="O40" i="3" s="1"/>
  <c r="O20" i="3"/>
  <c r="O31" i="3"/>
  <c r="Q23" i="3"/>
  <c r="Q22" i="3"/>
  <c r="P25" i="3"/>
  <c r="E25" i="3"/>
  <c r="D34" i="3" s="1"/>
  <c r="E24" i="3"/>
  <c r="D33" i="3" s="1"/>
  <c r="E23" i="3"/>
  <c r="D32" i="3" s="1"/>
  <c r="E22" i="3"/>
  <c r="D31" i="3" s="1"/>
  <c r="J15" i="4"/>
  <c r="J16" i="4" s="1"/>
  <c r="J17" i="4" s="1"/>
  <c r="J14" i="4"/>
  <c r="F20" i="4"/>
  <c r="F19" i="4"/>
  <c r="F18" i="4"/>
  <c r="F17" i="4"/>
  <c r="F16" i="4"/>
  <c r="F15" i="4"/>
  <c r="F14" i="4"/>
  <c r="F13" i="4"/>
  <c r="G13" i="4" s="1"/>
  <c r="Q25" i="3" l="1"/>
  <c r="P26" i="3"/>
  <c r="Q26" i="3" s="1"/>
  <c r="Q24" i="3"/>
  <c r="G14" i="4"/>
  <c r="G15" i="4" s="1"/>
  <c r="G16" i="4" s="1"/>
  <c r="G17" i="4" s="1"/>
  <c r="G18" i="4" s="1"/>
  <c r="G19" i="4" s="1"/>
  <c r="G20" i="4" s="1"/>
  <c r="D7" i="4" l="1"/>
  <c r="E7" i="4" s="1"/>
  <c r="N25" i="3" l="1"/>
  <c r="O25" i="3" s="1"/>
  <c r="N24" i="3"/>
  <c r="O24" i="3" s="1"/>
  <c r="N23" i="3"/>
  <c r="O23" i="3" s="1"/>
  <c r="N22" i="3"/>
  <c r="O22" i="3" s="1"/>
  <c r="D100" i="2"/>
  <c r="C100" i="2"/>
  <c r="B100" i="2"/>
  <c r="C22" i="3"/>
  <c r="E31" i="3" s="1"/>
  <c r="F31" i="3" s="1"/>
  <c r="E26" i="3" l="1"/>
  <c r="I26" i="3"/>
  <c r="C23" i="3"/>
  <c r="E32" i="3" s="1"/>
  <c r="F32" i="3" s="1"/>
  <c r="O32" i="3"/>
  <c r="D35" i="3" l="1"/>
  <c r="O26" i="3"/>
  <c r="C24" i="3"/>
  <c r="E33" i="3" s="1"/>
  <c r="O33" i="3"/>
  <c r="F33" i="3"/>
  <c r="E35" i="3" l="1"/>
  <c r="F55" i="3"/>
  <c r="C25" i="3"/>
  <c r="E34" i="3" s="1"/>
  <c r="F34" i="3" s="1"/>
  <c r="O34" i="3"/>
  <c r="F35" i="3" l="1"/>
  <c r="F38" i="3" l="1"/>
  <c r="F56" i="3" s="1"/>
  <c r="F46" i="3"/>
  <c r="F51" i="3"/>
  <c r="O35" i="3"/>
  <c r="O46" i="3" s="1"/>
  <c r="F41" i="3"/>
  <c r="O38" i="3" l="1"/>
  <c r="O41" i="3" l="1"/>
  <c r="O56" i="3"/>
  <c r="O51" i="3"/>
</calcChain>
</file>

<file path=xl/sharedStrings.xml><?xml version="1.0" encoding="utf-8"?>
<sst xmlns="http://schemas.openxmlformats.org/spreadsheetml/2006/main" count="558" uniqueCount="235">
  <si>
    <t>Assets</t>
  </si>
  <si>
    <t>Whole Foods Market, Inc.</t>
  </si>
  <si>
    <t>Consolidated Balance Sheets</t>
  </si>
  <si>
    <t>Liabilities and Shareholders’ Equity</t>
  </si>
  <si>
    <t>Consolidated Statements of Operations</t>
  </si>
  <si>
    <t>(In millions, except per share amounts)</t>
  </si>
  <si>
    <t>Fiscal years ended September 27, 2015, September 28, 2014 and September 29, 2013</t>
  </si>
  <si>
    <t>Cash and cash equivalents</t>
  </si>
  <si>
    <t>Total current assets</t>
  </si>
  <si>
    <t>Total current liabilities</t>
  </si>
  <si>
    <t>Total shareholders’ equity</t>
  </si>
  <si>
    <t>Total liabilities and shareholders’ equity</t>
  </si>
  <si>
    <t>Sales</t>
  </si>
  <si>
    <t>Long-Term Assets</t>
  </si>
  <si>
    <t>Current assets</t>
  </si>
  <si>
    <t>Total Long-Term Assets</t>
  </si>
  <si>
    <t>Current liabilities</t>
  </si>
  <si>
    <t>Shareholders’ equity</t>
  </si>
  <si>
    <t>Average tax rate</t>
  </si>
  <si>
    <t>(all values in millions)</t>
  </si>
  <si>
    <t>EBIT</t>
  </si>
  <si>
    <t xml:space="preserve">WFM   966837106   2963899   NASDAQ    Common stock    </t>
  </si>
  <si>
    <t>Analyst Consensus Estimates</t>
  </si>
  <si>
    <t>Earnings Per Share</t>
  </si>
  <si>
    <t>CY '16E</t>
  </si>
  <si>
    <t>CY '17E</t>
  </si>
  <si>
    <t>CY '18E</t>
  </si>
  <si>
    <t>CY '19E</t>
  </si>
  <si>
    <t>CY '20E</t>
  </si>
  <si>
    <t>CY '21E</t>
  </si>
  <si>
    <t>Dec '16E</t>
  </si>
  <si>
    <t>Dec '17E</t>
  </si>
  <si>
    <t>Dec '18E</t>
  </si>
  <si>
    <t>Dec '19E</t>
  </si>
  <si>
    <t>Dec '20E</t>
  </si>
  <si>
    <t>Dec '21E</t>
  </si>
  <si>
    <t>EPS</t>
  </si>
  <si>
    <t>--</t>
  </si>
  <si>
    <t>EPS - GAAP</t>
  </si>
  <si>
    <t>EPS - Non GAAP</t>
  </si>
  <si>
    <t>Industry Metrics</t>
  </si>
  <si>
    <t>Same Store Sales</t>
  </si>
  <si>
    <t>Net Sales per Retail Sq. Ft.</t>
  </si>
  <si>
    <t>Selling Space Sq. Ft. (Gross)</t>
  </si>
  <si>
    <t># Stores at Period End</t>
  </si>
  <si>
    <t># Stores Closed During Period</t>
  </si>
  <si>
    <t># Stores Opened</t>
  </si>
  <si>
    <t># Stores Relocated During Period</t>
  </si>
  <si>
    <t>Identical Store Sales</t>
  </si>
  <si>
    <t>Cost of Sales</t>
  </si>
  <si>
    <t>Gross Income</t>
  </si>
  <si>
    <t>SG&amp;A Expense</t>
  </si>
  <si>
    <t>EBITDA</t>
  </si>
  <si>
    <t>Operating Income</t>
  </si>
  <si>
    <t>Interest Expense</t>
  </si>
  <si>
    <t>Pretax Income</t>
  </si>
  <si>
    <t>Tax Expense</t>
  </si>
  <si>
    <t>Net Income</t>
  </si>
  <si>
    <t>Current Assets</t>
  </si>
  <si>
    <t>Inventories</t>
  </si>
  <si>
    <t>Current Liabilities</t>
  </si>
  <si>
    <t>Accounts Payable</t>
  </si>
  <si>
    <t>Total Assets</t>
  </si>
  <si>
    <t>Total Debt</t>
  </si>
  <si>
    <t>Total Goodwill</t>
  </si>
  <si>
    <t>Net Debt</t>
  </si>
  <si>
    <t>Shareholder Equity</t>
  </si>
  <si>
    <t>Capital Expenditures</t>
  </si>
  <si>
    <t>Free Cash Flow</t>
  </si>
  <si>
    <t>Cash Flow from Operations</t>
  </si>
  <si>
    <t>Cash Flow from Investing</t>
  </si>
  <si>
    <t>Cash Flow from Financing</t>
  </si>
  <si>
    <t>Share Repurchase</t>
  </si>
  <si>
    <t>Per Share</t>
  </si>
  <si>
    <t>Dividends per Share</t>
  </si>
  <si>
    <t>Free Cash Flow per Share</t>
  </si>
  <si>
    <t>Cash Flow per Share</t>
  </si>
  <si>
    <t>Book Value per Share</t>
  </si>
  <si>
    <t>Book Value per Share - Tangible</t>
  </si>
  <si>
    <t>Valuation</t>
  </si>
  <si>
    <t>Price/Earnings (x)</t>
  </si>
  <si>
    <t>PEG Ratio (x)</t>
  </si>
  <si>
    <t>Price/Book Value (x)</t>
  </si>
  <si>
    <t>Price/Tangible Book Value (x)</t>
  </si>
  <si>
    <t>Price/Cash Flow (x)</t>
  </si>
  <si>
    <t>Price/Free Cash Flow (x)</t>
  </si>
  <si>
    <t>Price/Sales (x)</t>
  </si>
  <si>
    <t>Enterprise Value/Sales (x)</t>
  </si>
  <si>
    <t>Enterprise Value/EBITDA (x)</t>
  </si>
  <si>
    <t>Enterprise Value/EBIT (x)</t>
  </si>
  <si>
    <t>Enterprise Value/FCF (x)</t>
  </si>
  <si>
    <t>Dividend Yield (%)</t>
  </si>
  <si>
    <t>Sales/Share (x)</t>
  </si>
  <si>
    <t>Tax</t>
  </si>
  <si>
    <t>FCF</t>
  </si>
  <si>
    <t>FA</t>
  </si>
  <si>
    <t>CA</t>
  </si>
  <si>
    <t>CL</t>
  </si>
  <si>
    <t>Enterprise Value</t>
  </si>
  <si>
    <t>Pre-Tax NI</t>
  </si>
  <si>
    <t>TAX</t>
  </si>
  <si>
    <t>Avg Tax Rate</t>
  </si>
  <si>
    <t>Taxable Income Over</t>
  </si>
  <si>
    <t>But Not Over</t>
  </si>
  <si>
    <t>Tax Rate</t>
  </si>
  <si>
    <t>Tax in bracket</t>
  </si>
  <si>
    <t>Running Total</t>
  </si>
  <si>
    <t>Tax Estimator</t>
  </si>
  <si>
    <t>Pre-Tax Income</t>
  </si>
  <si>
    <t>NOPLAT</t>
  </si>
  <si>
    <t>EV/EBIT Multiple</t>
  </si>
  <si>
    <t>Year</t>
  </si>
  <si>
    <r>
      <t>PV</t>
    </r>
    <r>
      <rPr>
        <b/>
        <vertAlign val="subscript"/>
        <sz val="11"/>
        <color theme="1"/>
        <rFont val="Calibri"/>
        <family val="2"/>
        <scheme val="minor"/>
      </rPr>
      <t>NOPLAT</t>
    </r>
  </si>
  <si>
    <r>
      <t>∑ PV</t>
    </r>
    <r>
      <rPr>
        <b/>
        <vertAlign val="subscript"/>
        <sz val="11"/>
        <color theme="1"/>
        <rFont val="Calibri"/>
        <family val="2"/>
      </rPr>
      <t>NOPLAT</t>
    </r>
  </si>
  <si>
    <r>
      <t>DCF</t>
    </r>
    <r>
      <rPr>
        <b/>
        <vertAlign val="subscript"/>
        <sz val="11"/>
        <color theme="1"/>
        <rFont val="Calibri"/>
        <family val="2"/>
        <scheme val="minor"/>
      </rPr>
      <t>NOPLAT</t>
    </r>
  </si>
  <si>
    <r>
      <t>∑ PV</t>
    </r>
    <r>
      <rPr>
        <b/>
        <vertAlign val="subscript"/>
        <sz val="11"/>
        <color theme="1"/>
        <rFont val="Calibri"/>
        <family val="2"/>
      </rPr>
      <t>FCF</t>
    </r>
  </si>
  <si>
    <r>
      <t>PV</t>
    </r>
    <r>
      <rPr>
        <b/>
        <vertAlign val="subscript"/>
        <sz val="11"/>
        <color theme="1"/>
        <rFont val="Calibri"/>
        <family val="2"/>
      </rPr>
      <t>FCF</t>
    </r>
  </si>
  <si>
    <r>
      <t>DCF</t>
    </r>
    <r>
      <rPr>
        <b/>
        <vertAlign val="subscript"/>
        <sz val="11"/>
        <color theme="1"/>
        <rFont val="Calibri"/>
        <family val="2"/>
        <scheme val="minor"/>
      </rPr>
      <t>FCF</t>
    </r>
  </si>
  <si>
    <t>Base Year</t>
  </si>
  <si>
    <r>
      <t>CV</t>
    </r>
    <r>
      <rPr>
        <b/>
        <vertAlign val="subscript"/>
        <sz val="11"/>
        <color theme="1"/>
        <rFont val="Calibri"/>
        <family val="2"/>
        <scheme val="minor"/>
      </rPr>
      <t>KVD</t>
    </r>
  </si>
  <si>
    <r>
      <t>PV</t>
    </r>
    <r>
      <rPr>
        <b/>
        <vertAlign val="subscript"/>
        <sz val="11"/>
        <color theme="1"/>
        <rFont val="Calibri"/>
        <family val="2"/>
        <scheme val="minor"/>
      </rPr>
      <t>CV</t>
    </r>
  </si>
  <si>
    <t>Target Multiple</t>
  </si>
  <si>
    <r>
      <t>MULTIPLE</t>
    </r>
    <r>
      <rPr>
        <b/>
        <vertAlign val="subscript"/>
        <sz val="11"/>
        <color theme="1"/>
        <rFont val="Calibri"/>
        <family val="2"/>
        <scheme val="minor"/>
      </rPr>
      <t>KVD</t>
    </r>
  </si>
  <si>
    <t>Whole Foods Markets</t>
  </si>
  <si>
    <t>Calculations for illustrative purposes only and not intended to reflect actual or expected values</t>
  </si>
  <si>
    <t>Illustration based on November 2016 analyst concensus estimates and 2014-2015 reported values</t>
  </si>
  <si>
    <t>Total common shares outstanding</t>
  </si>
  <si>
    <t>Market Cap - Common</t>
  </si>
  <si>
    <t>Depreciation</t>
  </si>
  <si>
    <t>Year ending 30 September for each year indicated</t>
  </si>
  <si>
    <t>Short-Term Receivables</t>
  </si>
  <si>
    <t>Other Current Assets</t>
  </si>
  <si>
    <t>Property, Plant &amp; Equipment - Gross</t>
  </si>
  <si>
    <t>Accumulated Depreciation</t>
  </si>
  <si>
    <t>Total Investments and Advances</t>
  </si>
  <si>
    <t>Intangible Assets</t>
  </si>
  <si>
    <t>Deferred Tax Assets</t>
  </si>
  <si>
    <t>Other Assets</t>
  </si>
  <si>
    <t>ST Debt &amp; Curr. Portion LT Debt</t>
  </si>
  <si>
    <t>Other Current Liabilities</t>
  </si>
  <si>
    <t>Long-Term Debt</t>
  </si>
  <si>
    <t>Other Liabilities</t>
  </si>
  <si>
    <t>Long -Term Debt</t>
  </si>
  <si>
    <t>Total Long-Term Debt</t>
  </si>
  <si>
    <t>Total Liabilities</t>
  </si>
  <si>
    <t>Common Stock Par/Carry Value</t>
  </si>
  <si>
    <t>Treasury Stock</t>
  </si>
  <si>
    <t>Retained Earnings</t>
  </si>
  <si>
    <t>Other Appropriated Reserves</t>
  </si>
  <si>
    <t>Amortization of Intangibles</t>
  </si>
  <si>
    <t>Cost of Goods Sold</t>
  </si>
  <si>
    <t>COGS (excluding SG&amp;A and D&amp;A)</t>
  </si>
  <si>
    <t>Subtotal COGS</t>
  </si>
  <si>
    <t>Non-Operating Income Net</t>
  </si>
  <si>
    <t>Unusual Expense - Net</t>
  </si>
  <si>
    <t>Income Taxes</t>
  </si>
  <si>
    <t>Preferred Dividends</t>
  </si>
  <si>
    <t>Common Dividends</t>
  </si>
  <si>
    <t>Fiscal Year End of Periods Noted</t>
  </si>
  <si>
    <t>All Values in Millions</t>
  </si>
  <si>
    <t>Income Statement</t>
  </si>
  <si>
    <t>Balance Sheet</t>
  </si>
  <si>
    <t>Cash Flow</t>
  </si>
  <si>
    <t>Return on Assets (ROA) (%)</t>
  </si>
  <si>
    <t>Return on Equity (ROE) (%)</t>
  </si>
  <si>
    <t>Valuation Metrics</t>
  </si>
  <si>
    <r>
      <t>WACC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</si>
  <si>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r>
      <t>IR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vertAlign val="superscript"/>
        <sz val="11"/>
        <color theme="1"/>
        <rFont val="Calibri"/>
        <family val="2"/>
        <scheme val="minor"/>
      </rPr>
      <t>12</t>
    </r>
  </si>
  <si>
    <r>
      <t>g</t>
    </r>
    <r>
      <rPr>
        <b/>
        <vertAlign val="superscript"/>
        <sz val="11"/>
        <color theme="1"/>
        <rFont val="Calibri"/>
        <family val="2"/>
        <scheme val="minor"/>
      </rPr>
      <t>13</t>
    </r>
  </si>
  <si>
    <r>
      <t>g</t>
    </r>
    <r>
      <rPr>
        <b/>
        <vertAlign val="subscript"/>
        <sz val="11"/>
        <color theme="1"/>
        <rFont val="Calibri"/>
        <family val="2"/>
        <scheme val="minor"/>
      </rPr>
      <t>EXPLICIT</t>
    </r>
    <r>
      <rPr>
        <b/>
        <vertAlign val="superscript"/>
        <sz val="11"/>
        <color theme="1"/>
        <rFont val="Calibri"/>
        <family val="2"/>
        <scheme val="minor"/>
      </rPr>
      <t>14</t>
    </r>
  </si>
  <si>
    <t>Closing share price</t>
  </si>
  <si>
    <t>Book Value Long Term Debt</t>
  </si>
  <si>
    <t>Cash</t>
  </si>
  <si>
    <r>
      <rPr>
        <b/>
        <sz val="11"/>
        <color theme="1"/>
        <rFont val="Calibri"/>
        <family val="2"/>
        <scheme val="minor"/>
      </rPr>
      <t>Enterprise Value (EV)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</si>
  <si>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Calculated using the KVD form for continuing value with no explicit period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</si>
  <si>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FCF for 2020 and 2021 estimated based on change in NOPLAT for two prior years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</si>
  <si>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Consensus estimates for interest expense taken as difference between Operating Income and Pretax Income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</si>
  <si>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Insufficient information is available through FactSet or the Merit Medical Annual Report to determine the</t>
    </r>
  </si>
  <si>
    <t xml:space="preserve">   market value of the firm's long-term debt.  As such, this analysis uses a book value approach to enterprise value</t>
  </si>
  <si>
    <t xml:space="preserve">   and includes the market capitalization of the firm's stock plus all liabilities, less cash and securities.</t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</si>
  <si>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ROIC taken as NOPLAT/IC</t>
    </r>
  </si>
  <si>
    <r>
      <t xml:space="preserve">7 </t>
    </r>
    <r>
      <rPr>
        <sz val="11"/>
        <color theme="1"/>
        <rFont val="Calibri"/>
        <family val="2"/>
        <scheme val="minor"/>
      </rPr>
      <t>IC taken as FA + (CA - CL) = FA + NWC</t>
    </r>
  </si>
  <si>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 NOPLAT taken as EBIT x (1-T) with T = average tax rate on EBIT</t>
    </r>
  </si>
  <si>
    <r>
      <rPr>
        <vertAlign val="superscript"/>
        <sz val="11"/>
        <color theme="1"/>
        <rFont val="Calibri"/>
        <family val="2"/>
        <scheme val="minor"/>
      </rPr>
      <t>9</t>
    </r>
    <r>
      <rPr>
        <sz val="11"/>
        <color theme="1"/>
        <rFont val="Calibri"/>
        <family val="2"/>
        <scheme val="minor"/>
      </rPr>
      <t xml:space="preserve"> Observed Multiple = EV/EBIT as of Base Year</t>
    </r>
  </si>
  <si>
    <r>
      <rPr>
        <vertAlign val="superscript"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 Target Multiple based on hypothetical exit multiple chosen with discretion</t>
    </r>
  </si>
  <si>
    <r>
      <rPr>
        <vertAlign val="superscript"/>
        <sz val="11"/>
        <color theme="1"/>
        <rFont val="Calibri"/>
        <family val="2"/>
        <scheme val="minor"/>
      </rPr>
      <t>12</t>
    </r>
    <r>
      <rPr>
        <sz val="11"/>
        <color theme="1"/>
        <rFont val="Calibri"/>
        <family val="2"/>
        <scheme val="minor"/>
      </rPr>
      <t xml:space="preserve"> IR (Investment Rate) = Net Investment / NOPLAT = (∆IC + DEP)/NOPLAT </t>
    </r>
  </si>
  <si>
    <r>
      <rPr>
        <vertAlign val="super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 xml:space="preserve"> g = IR x ROIC = (Net Investment/NOPLAT) x (NOPLAT / IC) = Net Investment / IC</t>
    </r>
  </si>
  <si>
    <r>
      <rPr>
        <vertAlign val="superscript"/>
        <sz val="11"/>
        <color theme="1"/>
        <rFont val="Calibri"/>
        <family val="2"/>
        <scheme val="minor"/>
      </rPr>
      <t>14</t>
    </r>
    <r>
      <rPr>
        <sz val="11"/>
        <color theme="1"/>
        <rFont val="Calibri"/>
        <family val="2"/>
        <scheme val="minor"/>
      </rPr>
      <t xml:space="preserve"> g</t>
    </r>
    <r>
      <rPr>
        <vertAlign val="subscript"/>
        <sz val="11"/>
        <color theme="1"/>
        <rFont val="Calibri"/>
        <family val="2"/>
        <scheme val="minor"/>
      </rPr>
      <t>EXPLICIT</t>
    </r>
    <r>
      <rPr>
        <sz val="11"/>
        <color theme="1"/>
        <rFont val="Calibri"/>
        <family val="2"/>
        <scheme val="minor"/>
      </rPr>
      <t xml:space="preserve"> is taken as the average annual change in EBIT for those years included in the analysis</t>
    </r>
  </si>
  <si>
    <t>Depreciation and Amortization</t>
  </si>
  <si>
    <t>Fixed Assets</t>
  </si>
  <si>
    <r>
      <t>NOPLAT</t>
    </r>
    <r>
      <rPr>
        <b/>
        <vertAlign val="superscript"/>
        <sz val="11"/>
        <color theme="1"/>
        <rFont val="Calibri"/>
        <family val="2"/>
        <scheme val="minor"/>
      </rPr>
      <t>8</t>
    </r>
  </si>
  <si>
    <r>
      <t>FCF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</si>
  <si>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Interest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</si>
  <si>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ROIC</t>
    </r>
    <r>
      <rPr>
        <b/>
        <vertAlign val="superscript"/>
        <sz val="11"/>
        <color theme="1"/>
        <rFont val="Calibri"/>
        <family val="2"/>
        <scheme val="minor"/>
      </rPr>
      <t>6</t>
    </r>
  </si>
  <si>
    <r>
      <t>EV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</si>
  <si>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t>Invested Capital</t>
  </si>
  <si>
    <r>
      <t>IC</t>
    </r>
    <r>
      <rPr>
        <b/>
        <vertAlign val="superscript"/>
        <sz val="11"/>
        <color theme="1"/>
        <rFont val="Calibri"/>
        <family val="2"/>
        <scheme val="minor"/>
      </rPr>
      <t>7</t>
    </r>
  </si>
  <si>
    <r>
      <rPr>
        <vertAlign val="superscript"/>
        <sz val="11"/>
        <color theme="1"/>
        <rFont val="Calibri"/>
        <family val="2"/>
        <scheme val="minor"/>
      </rPr>
      <t>11</t>
    </r>
    <r>
      <rPr>
        <sz val="11"/>
        <color theme="1"/>
        <rFont val="Calibri"/>
        <family val="2"/>
        <scheme val="minor"/>
      </rPr>
      <t xml:space="preserve"> KVD Multiple based on the McKensey &amp; Company KVD Model in which EV/EBIT Multiple = ((1-T)(1-g/ROIC))/(WACC - g)</t>
    </r>
  </si>
  <si>
    <t>Gross Margin</t>
  </si>
  <si>
    <t>SG&amp;A to Sales</t>
  </si>
  <si>
    <t>Operating Margin</t>
  </si>
  <si>
    <t>Pretax Margin</t>
  </si>
  <si>
    <t>Net Margin</t>
  </si>
  <si>
    <t>Free Cash Flow Margin</t>
  </si>
  <si>
    <t>Return on Assets</t>
  </si>
  <si>
    <t>Return on Equity</t>
  </si>
  <si>
    <t>Return on Common Equity</t>
  </si>
  <si>
    <t>Return on Total Capital</t>
  </si>
  <si>
    <t>Return on Invested Capital</t>
  </si>
  <si>
    <t>Cash Flow Return on Invested Capital</t>
  </si>
  <si>
    <t>Profitability</t>
  </si>
  <si>
    <t>Ratios</t>
  </si>
  <si>
    <t>Price/Sales</t>
  </si>
  <si>
    <t>Price/Earnings</t>
  </si>
  <si>
    <t>Price/Book Value</t>
  </si>
  <si>
    <t>Price/Tangible Book Value</t>
  </si>
  <si>
    <t>Price/Cash Flow</t>
  </si>
  <si>
    <t>Price/Free Cash Flow</t>
  </si>
  <si>
    <t>Enterprise Value/EBIT</t>
  </si>
  <si>
    <t>Enterprise Value/EBITDA</t>
  </si>
  <si>
    <t>Enterprise Value/Sales</t>
  </si>
  <si>
    <t>Total Debt/Enterprise Value</t>
  </si>
  <si>
    <r>
      <t>Observed Multiple</t>
    </r>
    <r>
      <rPr>
        <b/>
        <vertAlign val="superscript"/>
        <sz val="11"/>
        <color theme="1"/>
        <rFont val="Calibri"/>
        <family val="2"/>
        <scheme val="minor"/>
      </rPr>
      <t>9</t>
    </r>
  </si>
  <si>
    <r>
      <t>Target Multiple</t>
    </r>
    <r>
      <rPr>
        <b/>
        <vertAlign val="superscript"/>
        <sz val="11"/>
        <color theme="1"/>
        <rFont val="Calibri"/>
        <family val="2"/>
        <scheme val="minor"/>
      </rPr>
      <t>10</t>
    </r>
  </si>
  <si>
    <r>
      <t>KVD Multiple</t>
    </r>
    <r>
      <rPr>
        <b/>
        <vertAlign val="superscript"/>
        <sz val="11"/>
        <color theme="1"/>
        <rFont val="Calibri"/>
        <family val="2"/>
        <scheme val="minor"/>
      </rPr>
      <t>11</t>
    </r>
  </si>
  <si>
    <r>
      <rPr>
        <vertAlign val="super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 xml:space="preserve"> WACC taken as 6.91% as noted in Bloomberg for Merit Medical as of 12/31/2016</t>
    </r>
  </si>
  <si>
    <r>
      <t>CV</t>
    </r>
    <r>
      <rPr>
        <b/>
        <vertAlign val="subscript"/>
        <sz val="11"/>
        <color theme="1"/>
        <rFont val="Calibri"/>
        <family val="2"/>
        <scheme val="minor"/>
      </rPr>
      <t>FMM</t>
    </r>
  </si>
  <si>
    <r>
      <t>VAL</t>
    </r>
    <r>
      <rPr>
        <b/>
        <vertAlign val="subscript"/>
        <sz val="11"/>
        <color theme="1"/>
        <rFont val="Calibri"/>
        <family val="2"/>
        <scheme val="minor"/>
      </rPr>
      <t>KVD/NOPLAT</t>
    </r>
  </si>
  <si>
    <r>
      <t>VAL</t>
    </r>
    <r>
      <rPr>
        <b/>
        <vertAlign val="subscript"/>
        <sz val="11"/>
        <color theme="1"/>
        <rFont val="Calibri"/>
        <family val="2"/>
        <scheme val="minor"/>
      </rPr>
      <t>NOPLAT/FMM</t>
    </r>
  </si>
  <si>
    <r>
      <t>CV</t>
    </r>
    <r>
      <rPr>
        <b/>
        <vertAlign val="subscript"/>
        <sz val="11"/>
        <color theme="1"/>
        <rFont val="Calibri"/>
        <family val="2"/>
        <scheme val="minor"/>
      </rPr>
      <t>FCF</t>
    </r>
  </si>
  <si>
    <r>
      <t>VAL</t>
    </r>
    <r>
      <rPr>
        <b/>
        <vertAlign val="subscript"/>
        <sz val="11"/>
        <color theme="1"/>
        <rFont val="Calibri"/>
        <family val="2"/>
        <scheme val="minor"/>
      </rPr>
      <t>FCF/FMM</t>
    </r>
  </si>
  <si>
    <r>
      <t>VAL</t>
    </r>
    <r>
      <rPr>
        <b/>
        <vertAlign val="subscript"/>
        <sz val="11"/>
        <color theme="1"/>
        <rFont val="Calibri"/>
        <family val="2"/>
        <scheme val="minor"/>
      </rPr>
      <t>DCF/FCF</t>
    </r>
  </si>
  <si>
    <r>
      <t>VAL</t>
    </r>
    <r>
      <rPr>
        <b/>
        <vertAlign val="subscript"/>
        <sz val="11"/>
        <color theme="1"/>
        <rFont val="Calibri"/>
        <family val="2"/>
        <scheme val="minor"/>
      </rPr>
      <t>KVD/FCF</t>
    </r>
  </si>
  <si>
    <r>
      <t>PV</t>
    </r>
    <r>
      <rPr>
        <b/>
        <vertAlign val="subscript"/>
        <sz val="11"/>
        <color theme="1"/>
        <rFont val="Calibri"/>
        <family val="2"/>
        <scheme val="minor"/>
      </rPr>
      <t>FCF</t>
    </r>
  </si>
  <si>
    <r>
      <rPr>
        <vertAlign val="superscript"/>
        <sz val="11"/>
        <color theme="1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 xml:space="preserve"> g = % ∆ GDP expected at 2.5%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</si>
</sst>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\-#,##0.00"/>
    <numFmt numFmtId="165" formatCode="#,##0.0;[Red]\-#,##0.0"/>
    <numFmt numFmtId="166" formatCode="#,##0;[Red]\-#,##0"/>
    <numFmt numFmtId="167" formatCode="_(* #,##0_);_(* \(#,##0\);_(* &quot;-&quot;??_);_(@_)"/>
    <numFmt numFmtId="168" formatCode="0.000%"/>
    <numFmt numFmtId="169" formatCode="#,##0.0;[Red]#,##0.0"/>
    <numFmt numFmtId="170" formatCode="0.000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996633"/>
      <name val="Arial"/>
      <family val="2"/>
    </font>
    <font>
      <sz val="7.5"/>
      <color rgb="FF996633"/>
      <name val="Arial"/>
      <family val="2"/>
    </font>
    <font>
      <sz val="1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name val="Trebuchet MS"/>
      <family val="2"/>
    </font>
    <font>
      <sz val="7.5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9" fontId="0" fillId="0" borderId="0" xfId="2" applyFont="1"/>
    <xf numFmtId="10" fontId="0" fillId="0" borderId="0" xfId="2" applyNumberFormat="1" applyFont="1"/>
    <xf numFmtId="2" fontId="6" fillId="0" borderId="0" xfId="0" applyNumberFormat="1" applyFont="1" applyFill="1" applyBorder="1" applyAlignment="1" applyProtection="1"/>
    <xf numFmtId="2" fontId="5" fillId="0" borderId="0" xfId="0" applyNumberFormat="1" applyFont="1" applyFill="1" applyBorder="1" applyAlignment="1" applyProtection="1"/>
    <xf numFmtId="2" fontId="7" fillId="0" borderId="0" xfId="0" applyNumberFormat="1" applyFont="1" applyFill="1" applyBorder="1" applyAlignment="1" applyProtection="1"/>
    <xf numFmtId="2" fontId="8" fillId="0" borderId="0" xfId="0" applyNumberFormat="1" applyFont="1" applyFill="1" applyBorder="1" applyAlignment="1" applyProtection="1"/>
    <xf numFmtId="164" fontId="7" fillId="0" borderId="0" xfId="0" applyNumberFormat="1" applyFont="1" applyFill="1" applyBorder="1" applyAlignment="1" applyProtection="1">
      <alignment horizontal="right"/>
    </xf>
    <xf numFmtId="165" fontId="7" fillId="0" borderId="0" xfId="0" applyNumberFormat="1" applyFont="1" applyFill="1" applyBorder="1" applyAlignment="1" applyProtection="1">
      <alignment horizontal="right"/>
    </xf>
    <xf numFmtId="166" fontId="7" fillId="0" borderId="0" xfId="0" applyNumberFormat="1" applyFont="1" applyFill="1" applyBorder="1" applyAlignment="1" applyProtection="1">
      <alignment horizontal="right"/>
    </xf>
    <xf numFmtId="2" fontId="0" fillId="0" borderId="0" xfId="0" applyNumberFormat="1"/>
    <xf numFmtId="0" fontId="2" fillId="0" borderId="0" xfId="0" applyFont="1" applyAlignment="1">
      <alignment horizontal="right"/>
    </xf>
    <xf numFmtId="43" fontId="0" fillId="0" borderId="0" xfId="0" applyNumberFormat="1" applyAlignment="1">
      <alignment horizontal="right"/>
    </xf>
    <xf numFmtId="43" fontId="0" fillId="0" borderId="0" xfId="1" applyFont="1"/>
    <xf numFmtId="43" fontId="0" fillId="0" borderId="0" xfId="1" applyFont="1" applyAlignment="1">
      <alignment horizontal="right"/>
    </xf>
    <xf numFmtId="0" fontId="2" fillId="0" borderId="0" xfId="0" applyFont="1" applyAlignment="1">
      <alignment horizontal="right" wrapText="1"/>
    </xf>
    <xf numFmtId="167" fontId="0" fillId="0" borderId="0" xfId="1" applyNumberFormat="1" applyFont="1"/>
    <xf numFmtId="168" fontId="0" fillId="0" borderId="0" xfId="2" applyNumberFormat="1" applyFont="1"/>
    <xf numFmtId="0" fontId="0" fillId="0" borderId="0" xfId="0" applyAlignment="1">
      <alignment horizontal="right"/>
    </xf>
    <xf numFmtId="0" fontId="9" fillId="0" borderId="0" xfId="0" applyFont="1"/>
    <xf numFmtId="10" fontId="9" fillId="0" borderId="0" xfId="2" applyNumberFormat="1" applyFont="1"/>
    <xf numFmtId="0" fontId="0" fillId="0" borderId="0" xfId="0" applyFont="1"/>
    <xf numFmtId="43" fontId="9" fillId="0" borderId="0" xfId="1" applyFont="1"/>
    <xf numFmtId="43" fontId="9" fillId="0" borderId="0" xfId="1" applyFont="1" applyFill="1" applyBorder="1" applyAlignment="1" applyProtection="1">
      <alignment horizontal="right"/>
    </xf>
    <xf numFmtId="43" fontId="0" fillId="0" borderId="0" xfId="0" applyNumberFormat="1"/>
    <xf numFmtId="0" fontId="11" fillId="0" borderId="0" xfId="0" applyFont="1" applyAlignment="1">
      <alignment horizontal="right"/>
    </xf>
    <xf numFmtId="43" fontId="0" fillId="0" borderId="0" xfId="3" applyNumberFormat="1" applyFont="1"/>
    <xf numFmtId="0" fontId="14" fillId="0" borderId="0" xfId="0" applyFont="1"/>
    <xf numFmtId="0" fontId="0" fillId="0" borderId="0" xfId="0" applyFont="1" applyAlignment="1">
      <alignment horizontal="right"/>
    </xf>
    <xf numFmtId="43" fontId="1" fillId="0" borderId="0" xfId="1" applyFont="1" applyAlignment="1">
      <alignment horizontal="right" wrapText="1"/>
    </xf>
    <xf numFmtId="43" fontId="1" fillId="0" borderId="0" xfId="1" applyFont="1" applyAlignment="1">
      <alignment horizontal="right"/>
    </xf>
    <xf numFmtId="0" fontId="0" fillId="0" borderId="0" xfId="0" applyProtection="1">
      <protection locked="0"/>
    </xf>
    <xf numFmtId="43" fontId="0" fillId="0" borderId="0" xfId="3" applyNumberFormat="1" applyFont="1" applyAlignment="1" applyProtection="1">
      <alignment horizontal="right"/>
      <protection locked="0"/>
    </xf>
    <xf numFmtId="43" fontId="0" fillId="0" borderId="0" xfId="3" applyNumberFormat="1" applyFont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43" fontId="9" fillId="0" borderId="0" xfId="1" applyFont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165" fontId="15" fillId="0" borderId="0" xfId="0" applyNumberFormat="1" applyFont="1" applyFill="1" applyBorder="1" applyAlignment="1" applyProtection="1"/>
    <xf numFmtId="2" fontId="15" fillId="0" borderId="0" xfId="0" applyNumberFormat="1" applyFont="1" applyFill="1" applyBorder="1" applyAlignment="1" applyProtection="1"/>
    <xf numFmtId="165" fontId="0" fillId="0" borderId="0" xfId="0" applyNumberFormat="1" applyBorder="1"/>
    <xf numFmtId="165" fontId="15" fillId="0" borderId="1" xfId="0" applyNumberFormat="1" applyFont="1" applyFill="1" applyBorder="1" applyAlignment="1" applyProtection="1"/>
    <xf numFmtId="166" fontId="15" fillId="0" borderId="0" xfId="0" applyNumberFormat="1" applyFont="1" applyFill="1" applyBorder="1" applyAlignment="1" applyProtection="1"/>
    <xf numFmtId="166" fontId="15" fillId="0" borderId="1" xfId="0" applyNumberFormat="1" applyFont="1" applyFill="1" applyBorder="1" applyAlignment="1" applyProtection="1"/>
    <xf numFmtId="165" fontId="0" fillId="0" borderId="0" xfId="0" applyNumberFormat="1"/>
    <xf numFmtId="0" fontId="0" fillId="0" borderId="0" xfId="0" applyBorder="1"/>
    <xf numFmtId="166" fontId="0" fillId="0" borderId="0" xfId="0" applyNumberFormat="1" applyBorder="1"/>
    <xf numFmtId="169" fontId="0" fillId="0" borderId="0" xfId="0" applyNumberFormat="1" applyBorder="1"/>
    <xf numFmtId="166" fontId="0" fillId="0" borderId="0" xfId="0" applyNumberFormat="1"/>
    <xf numFmtId="169" fontId="0" fillId="0" borderId="2" xfId="0" applyNumberFormat="1" applyBorder="1"/>
    <xf numFmtId="164" fontId="15" fillId="0" borderId="0" xfId="0" applyNumberFormat="1" applyFont="1" applyFill="1" applyBorder="1" applyAlignment="1" applyProtection="1"/>
    <xf numFmtId="43" fontId="15" fillId="0" borderId="0" xfId="1" applyFont="1" applyFill="1" applyBorder="1" applyAlignment="1" applyProtection="1"/>
    <xf numFmtId="43" fontId="15" fillId="0" borderId="1" xfId="1" applyFont="1" applyFill="1" applyBorder="1" applyAlignment="1" applyProtection="1"/>
    <xf numFmtId="43" fontId="15" fillId="0" borderId="3" xfId="1" applyFont="1" applyFill="1" applyBorder="1" applyAlignment="1" applyProtection="1"/>
    <xf numFmtId="166" fontId="6" fillId="0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/>
    <xf numFmtId="2" fontId="16" fillId="0" borderId="0" xfId="0" applyNumberFormat="1" applyFont="1" applyFill="1" applyBorder="1" applyAlignment="1" applyProtection="1"/>
    <xf numFmtId="164" fontId="6" fillId="0" borderId="0" xfId="0" applyNumberFormat="1" applyFont="1" applyFill="1" applyBorder="1" applyAlignment="1" applyProtection="1">
      <alignment horizontal="right"/>
    </xf>
    <xf numFmtId="165" fontId="6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0" xfId="0" applyFont="1" applyProtection="1">
      <protection locked="0"/>
    </xf>
    <xf numFmtId="0" fontId="3" fillId="0" borderId="0" xfId="0" applyFont="1" applyProtection="1">
      <protection locked="0"/>
    </xf>
    <xf numFmtId="43" fontId="0" fillId="0" borderId="0" xfId="0" applyNumberFormat="1" applyFont="1" applyProtection="1">
      <protection locked="0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Alignment="1" applyProtection="1">
      <alignment horizontal="right" wrapText="1"/>
      <protection locked="0"/>
    </xf>
    <xf numFmtId="43" fontId="6" fillId="0" borderId="0" xfId="1" applyFont="1" applyFill="1" applyBorder="1" applyAlignment="1" applyProtection="1">
      <alignment horizontal="right"/>
    </xf>
    <xf numFmtId="170" fontId="0" fillId="0" borderId="0" xfId="2" applyNumberFormat="1" applyFont="1"/>
    <xf numFmtId="0" fontId="9" fillId="0" borderId="0" xfId="0" applyFont="1" applyProtection="1">
      <protection locked="0"/>
    </xf>
    <xf numFmtId="0" fontId="2" fillId="0" borderId="0" xfId="0" applyFont="1" applyAlignment="1">
      <alignment horizontal="center"/>
    </xf>
    <xf numFmtId="2" fontId="5" fillId="0" borderId="0" xfId="0" applyNumberFormat="1" applyFont="1" applyFill="1" applyBorder="1" applyAlignment="1" applyProtection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right"/>
      <protection locked="0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"/>
  <sheetViews>
    <sheetView topLeftCell="A94" workbookViewId="0">
      <selection activeCell="Q115" sqref="Q115"/>
    </sheetView>
  </sheetViews>
  <sheetFormatPr defaultRowHeight="15" x14ac:dyDescent="0.25"/>
  <cols>
    <col min="1" max="3" width="3.7109375" customWidth="1"/>
    <col min="4" max="4" width="50.7109375" customWidth="1"/>
    <col min="5" max="5" width="9.7109375" bestFit="1" customWidth="1"/>
    <col min="6" max="10" width="10.5703125" bestFit="1" customWidth="1"/>
    <col min="11" max="14" width="9.5703125" bestFit="1" customWidth="1"/>
  </cols>
  <sheetData>
    <row r="1" spans="1:14" x14ac:dyDescent="0.25">
      <c r="A1" s="76" t="s">
        <v>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x14ac:dyDescent="0.25">
      <c r="A2" s="76" t="s">
        <v>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x14ac:dyDescent="0.25">
      <c r="A3" s="76" t="s">
        <v>129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x14ac:dyDescent="0.25">
      <c r="A4" s="76" t="s">
        <v>19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x14ac:dyDescent="0.25">
      <c r="D5" s="1"/>
      <c r="E5" s="1"/>
      <c r="F5" s="1"/>
    </row>
    <row r="6" spans="1:14" x14ac:dyDescent="0.25">
      <c r="A6" s="4" t="s">
        <v>0</v>
      </c>
    </row>
    <row r="7" spans="1:14" x14ac:dyDescent="0.25">
      <c r="B7" t="s">
        <v>14</v>
      </c>
      <c r="E7" s="3">
        <v>2016</v>
      </c>
      <c r="F7" s="3">
        <f>E7-1</f>
        <v>2015</v>
      </c>
      <c r="G7" s="3">
        <f t="shared" ref="G7:N7" si="0">F7-1</f>
        <v>2014</v>
      </c>
      <c r="H7" s="3">
        <f t="shared" si="0"/>
        <v>2013</v>
      </c>
      <c r="I7" s="3">
        <f t="shared" si="0"/>
        <v>2012</v>
      </c>
      <c r="J7" s="3">
        <f t="shared" si="0"/>
        <v>2011</v>
      </c>
      <c r="K7" s="3">
        <f t="shared" si="0"/>
        <v>2010</v>
      </c>
      <c r="L7" s="3">
        <f t="shared" si="0"/>
        <v>2009</v>
      </c>
      <c r="M7" s="3">
        <f t="shared" si="0"/>
        <v>2008</v>
      </c>
      <c r="N7" s="3">
        <f t="shared" si="0"/>
        <v>2007</v>
      </c>
    </row>
    <row r="8" spans="1:14" ht="16.5" x14ac:dyDescent="0.35">
      <c r="C8" t="s">
        <v>7</v>
      </c>
      <c r="E8" s="45">
        <v>852</v>
      </c>
      <c r="F8" s="45">
        <v>519</v>
      </c>
      <c r="G8" s="45">
        <v>852</v>
      </c>
      <c r="H8" s="45">
        <v>1134</v>
      </c>
      <c r="I8" s="45">
        <v>1323.1020000000001</v>
      </c>
      <c r="J8" s="45">
        <v>746.28</v>
      </c>
      <c r="K8" s="45">
        <v>548.53599999999994</v>
      </c>
      <c r="L8" s="45">
        <v>501.15300000000002</v>
      </c>
      <c r="M8" s="45">
        <v>31.151</v>
      </c>
      <c r="N8" s="45">
        <v>2.31</v>
      </c>
    </row>
    <row r="9" spans="1:14" ht="16.5" x14ac:dyDescent="0.35">
      <c r="C9" s="46" t="s">
        <v>130</v>
      </c>
      <c r="E9" s="45">
        <v>242</v>
      </c>
      <c r="F9" s="45">
        <v>218</v>
      </c>
      <c r="G9" s="45">
        <v>198</v>
      </c>
      <c r="H9" s="45">
        <v>188</v>
      </c>
      <c r="I9" s="45">
        <v>196.50299999999999</v>
      </c>
      <c r="J9" s="45">
        <v>175.31</v>
      </c>
      <c r="K9" s="45">
        <v>133.346</v>
      </c>
      <c r="L9" s="45">
        <v>104.73099999999999</v>
      </c>
      <c r="M9" s="45">
        <v>115.42400000000001</v>
      </c>
      <c r="N9" s="45">
        <v>270.26299999999998</v>
      </c>
    </row>
    <row r="10" spans="1:14" ht="16.5" x14ac:dyDescent="0.35">
      <c r="C10" s="46" t="s">
        <v>59</v>
      </c>
      <c r="E10" s="45">
        <v>517</v>
      </c>
      <c r="F10" s="45">
        <v>500</v>
      </c>
      <c r="G10" s="45">
        <v>441</v>
      </c>
      <c r="H10" s="45">
        <v>414</v>
      </c>
      <c r="I10" s="45">
        <v>374.26900000000001</v>
      </c>
      <c r="J10" s="45">
        <v>336.79899999999998</v>
      </c>
      <c r="K10" s="45">
        <v>323.48700000000002</v>
      </c>
      <c r="L10" s="45">
        <v>310.60199999999998</v>
      </c>
      <c r="M10" s="45">
        <v>327.452</v>
      </c>
      <c r="N10" s="45">
        <v>288.11200000000002</v>
      </c>
    </row>
    <row r="11" spans="1:14" ht="16.5" x14ac:dyDescent="0.35">
      <c r="C11" s="46" t="s">
        <v>131</v>
      </c>
      <c r="E11" s="48">
        <v>364</v>
      </c>
      <c r="F11" s="48">
        <v>307</v>
      </c>
      <c r="G11" s="48">
        <v>265</v>
      </c>
      <c r="H11" s="48">
        <v>244</v>
      </c>
      <c r="I11" s="48">
        <v>208.75700000000001</v>
      </c>
      <c r="J11" s="48">
        <v>194.755</v>
      </c>
      <c r="K11" s="48">
        <v>156.15</v>
      </c>
      <c r="L11" s="48">
        <v>138.89400000000001</v>
      </c>
      <c r="M11" s="48">
        <v>148.57900000000001</v>
      </c>
      <c r="N11" s="48">
        <v>107.301</v>
      </c>
    </row>
    <row r="12" spans="1:14" x14ac:dyDescent="0.25">
      <c r="C12" t="s">
        <v>8</v>
      </c>
      <c r="E12" s="47">
        <f>SUM(E8:E11)</f>
        <v>1975</v>
      </c>
      <c r="F12" s="47">
        <f t="shared" ref="F12:N12" si="1">SUM(F8:F11)</f>
        <v>1544</v>
      </c>
      <c r="G12" s="47">
        <f t="shared" si="1"/>
        <v>1756</v>
      </c>
      <c r="H12" s="47">
        <f t="shared" si="1"/>
        <v>1980</v>
      </c>
      <c r="I12" s="47">
        <f t="shared" si="1"/>
        <v>2102.6309999999999</v>
      </c>
      <c r="J12" s="47">
        <f t="shared" si="1"/>
        <v>1453.1439999999998</v>
      </c>
      <c r="K12" s="47">
        <f t="shared" si="1"/>
        <v>1161.519</v>
      </c>
      <c r="L12" s="47">
        <f t="shared" si="1"/>
        <v>1055.3800000000001</v>
      </c>
      <c r="M12" s="47">
        <f t="shared" si="1"/>
        <v>622.60599999999999</v>
      </c>
      <c r="N12" s="47">
        <f t="shared" si="1"/>
        <v>667.98599999999999</v>
      </c>
    </row>
    <row r="14" spans="1:14" x14ac:dyDescent="0.25">
      <c r="B14" t="s">
        <v>13</v>
      </c>
    </row>
    <row r="15" spans="1:14" ht="16.5" x14ac:dyDescent="0.35">
      <c r="C15" s="46" t="s">
        <v>132</v>
      </c>
      <c r="E15" s="49">
        <v>6414</v>
      </c>
      <c r="F15" s="49">
        <v>5854</v>
      </c>
      <c r="G15" s="49">
        <v>5309</v>
      </c>
      <c r="H15" s="49">
        <v>4512</v>
      </c>
      <c r="I15" s="49">
        <v>4048.6480000000001</v>
      </c>
      <c r="J15" s="49">
        <v>3619.424</v>
      </c>
      <c r="K15" s="49">
        <v>3298.2089999999998</v>
      </c>
      <c r="L15" s="49">
        <v>3078.1680000000001</v>
      </c>
      <c r="M15" s="49">
        <v>2894.3290000000002</v>
      </c>
      <c r="N15" s="49">
        <v>2483.35</v>
      </c>
    </row>
    <row r="16" spans="1:14" ht="16.5" x14ac:dyDescent="0.35">
      <c r="C16" s="46" t="s">
        <v>133</v>
      </c>
      <c r="E16" s="49">
        <v>-2972</v>
      </c>
      <c r="F16" s="49">
        <v>-2691</v>
      </c>
      <c r="G16" s="49">
        <v>-2386</v>
      </c>
      <c r="H16" s="49">
        <v>-2084</v>
      </c>
      <c r="I16" s="49">
        <v>-1855.9649999999999</v>
      </c>
      <c r="J16" s="49">
        <v>-1622.212</v>
      </c>
      <c r="K16" s="49">
        <v>-1412.079</v>
      </c>
      <c r="L16" s="49">
        <v>-1180.3150000000001</v>
      </c>
      <c r="M16" s="49">
        <v>-994.21199999999999</v>
      </c>
      <c r="N16" s="49">
        <v>-816.79100000000005</v>
      </c>
    </row>
    <row r="17" spans="1:14" ht="16.5" x14ac:dyDescent="0.35">
      <c r="C17" s="46" t="s">
        <v>134</v>
      </c>
      <c r="E17" s="49">
        <v>19</v>
      </c>
      <c r="F17" s="49">
        <v>77</v>
      </c>
      <c r="G17" s="49">
        <v>134</v>
      </c>
      <c r="H17" s="49">
        <v>302</v>
      </c>
      <c r="I17" s="49">
        <v>221.42599999999999</v>
      </c>
      <c r="J17" s="49">
        <v>52.814999999999998</v>
      </c>
      <c r="K17" s="49">
        <v>96.146000000000001</v>
      </c>
      <c r="L17" s="49">
        <v>0</v>
      </c>
      <c r="M17" s="49">
        <v>0</v>
      </c>
      <c r="N17" s="49">
        <v>0</v>
      </c>
    </row>
    <row r="18" spans="1:14" ht="16.5" x14ac:dyDescent="0.35">
      <c r="C18" s="46" t="s">
        <v>135</v>
      </c>
      <c r="E18" s="49">
        <v>784</v>
      </c>
      <c r="F18" s="49">
        <v>789</v>
      </c>
      <c r="G18" s="49">
        <v>789</v>
      </c>
      <c r="H18" s="49">
        <v>744</v>
      </c>
      <c r="I18" s="49">
        <v>725.33699999999999</v>
      </c>
      <c r="J18" s="49">
        <v>730.17200000000003</v>
      </c>
      <c r="K18" s="49">
        <v>734.28800000000001</v>
      </c>
      <c r="L18" s="49">
        <v>731.28899999999999</v>
      </c>
      <c r="M18" s="49">
        <v>738.05799999999999</v>
      </c>
      <c r="N18" s="49">
        <v>766.53300000000002</v>
      </c>
    </row>
    <row r="19" spans="1:14" ht="16.5" x14ac:dyDescent="0.35">
      <c r="C19" s="46" t="s">
        <v>136</v>
      </c>
      <c r="E19" s="49">
        <v>100</v>
      </c>
      <c r="F19" s="49">
        <v>144</v>
      </c>
      <c r="G19" s="49">
        <v>132</v>
      </c>
      <c r="H19" s="49">
        <v>72</v>
      </c>
      <c r="I19" s="49">
        <v>42.834000000000003</v>
      </c>
      <c r="J19" s="49">
        <v>50.148000000000003</v>
      </c>
      <c r="K19" s="49">
        <v>99.156000000000006</v>
      </c>
      <c r="L19" s="49">
        <v>91</v>
      </c>
      <c r="M19" s="49">
        <v>109.002</v>
      </c>
      <c r="N19" s="49">
        <v>104.877</v>
      </c>
    </row>
    <row r="20" spans="1:14" ht="16.5" x14ac:dyDescent="0.35">
      <c r="C20" s="46" t="s">
        <v>137</v>
      </c>
      <c r="E20" s="50">
        <v>21</v>
      </c>
      <c r="F20" s="50">
        <v>24</v>
      </c>
      <c r="G20" s="50">
        <v>10</v>
      </c>
      <c r="H20" s="50">
        <v>12</v>
      </c>
      <c r="I20" s="50">
        <v>9.3049999999999997</v>
      </c>
      <c r="J20" s="50">
        <v>8.5839999999999996</v>
      </c>
      <c r="K20" s="50">
        <v>9.3010000000000002</v>
      </c>
      <c r="L20" s="50">
        <v>7.8659999999999997</v>
      </c>
      <c r="M20" s="50">
        <v>10.952999999999999</v>
      </c>
      <c r="N20" s="50">
        <v>7.173</v>
      </c>
    </row>
    <row r="21" spans="1:14" ht="16.5" x14ac:dyDescent="0.35">
      <c r="C21" t="s">
        <v>15</v>
      </c>
      <c r="D21" s="49"/>
      <c r="E21" s="49">
        <f t="shared" ref="E21:N21" si="2">SUM(E15:E20)</f>
        <v>4366</v>
      </c>
      <c r="F21" s="49">
        <f t="shared" si="2"/>
        <v>4197</v>
      </c>
      <c r="G21" s="49">
        <f t="shared" si="2"/>
        <v>3988</v>
      </c>
      <c r="H21" s="49">
        <f t="shared" si="2"/>
        <v>3558</v>
      </c>
      <c r="I21" s="49">
        <f t="shared" si="2"/>
        <v>3191.5849999999996</v>
      </c>
      <c r="J21" s="49">
        <f t="shared" si="2"/>
        <v>2838.931</v>
      </c>
      <c r="K21" s="49">
        <f t="shared" si="2"/>
        <v>2825.0209999999997</v>
      </c>
      <c r="L21" s="49">
        <f t="shared" si="2"/>
        <v>2728.0079999999998</v>
      </c>
      <c r="M21" s="49">
        <f t="shared" si="2"/>
        <v>2758.13</v>
      </c>
      <c r="N21" s="49">
        <f t="shared" si="2"/>
        <v>2545.1419999999994</v>
      </c>
    </row>
    <row r="22" spans="1:14" ht="16.5" x14ac:dyDescent="0.35"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</row>
    <row r="23" spans="1:14" ht="16.5" x14ac:dyDescent="0.35">
      <c r="B23" t="s">
        <v>62</v>
      </c>
      <c r="D23" s="49"/>
      <c r="E23" s="49">
        <f>E12+E21</f>
        <v>6341</v>
      </c>
      <c r="F23" s="49"/>
      <c r="G23" s="49"/>
      <c r="H23" s="49"/>
      <c r="I23" s="49"/>
      <c r="J23" s="49"/>
      <c r="K23" s="49"/>
      <c r="L23" s="49"/>
      <c r="M23" s="49"/>
      <c r="N23" s="49"/>
    </row>
    <row r="25" spans="1:14" x14ac:dyDescent="0.25">
      <c r="A25" s="3" t="s">
        <v>3</v>
      </c>
    </row>
    <row r="26" spans="1:14" x14ac:dyDescent="0.25">
      <c r="B26" t="s">
        <v>16</v>
      </c>
    </row>
    <row r="27" spans="1:14" ht="16.5" x14ac:dyDescent="0.35">
      <c r="C27" s="46" t="s">
        <v>138</v>
      </c>
      <c r="E27" s="45">
        <v>3</v>
      </c>
      <c r="F27" s="45">
        <v>3</v>
      </c>
      <c r="G27" s="45">
        <v>2</v>
      </c>
      <c r="H27" s="45">
        <v>1</v>
      </c>
      <c r="I27" s="45">
        <v>1.012</v>
      </c>
      <c r="J27" s="45">
        <v>0.46600000000000003</v>
      </c>
      <c r="K27" s="45">
        <v>0.41</v>
      </c>
      <c r="L27" s="45">
        <v>0.38900000000000001</v>
      </c>
      <c r="M27" s="45">
        <v>0.38</v>
      </c>
      <c r="N27" s="45">
        <v>24.780999999999999</v>
      </c>
    </row>
    <row r="28" spans="1:14" ht="16.5" x14ac:dyDescent="0.35">
      <c r="C28" s="46" t="s">
        <v>61</v>
      </c>
      <c r="E28" s="45">
        <v>307</v>
      </c>
      <c r="F28" s="45">
        <v>295</v>
      </c>
      <c r="G28" s="45">
        <v>276</v>
      </c>
      <c r="H28" s="45">
        <v>247</v>
      </c>
      <c r="I28" s="45">
        <v>247.089</v>
      </c>
      <c r="J28" s="45">
        <v>236.91300000000001</v>
      </c>
      <c r="K28" s="45">
        <v>213.21199999999999</v>
      </c>
      <c r="L28" s="45">
        <v>189.59700000000001</v>
      </c>
      <c r="M28" s="45">
        <v>183.13399999999999</v>
      </c>
      <c r="N28" s="45">
        <v>225.72800000000001</v>
      </c>
    </row>
    <row r="29" spans="1:14" ht="16.5" x14ac:dyDescent="0.35">
      <c r="C29" s="46" t="s">
        <v>139</v>
      </c>
      <c r="E29" s="48">
        <v>1031</v>
      </c>
      <c r="F29" s="48">
        <v>954</v>
      </c>
      <c r="G29" s="48">
        <v>979</v>
      </c>
      <c r="H29" s="48">
        <v>840</v>
      </c>
      <c r="I29" s="48">
        <v>729.08699999999999</v>
      </c>
      <c r="J29" s="48">
        <v>641.98199999999997</v>
      </c>
      <c r="K29" s="48">
        <v>534.25</v>
      </c>
      <c r="L29" s="48">
        <v>494.03800000000001</v>
      </c>
      <c r="M29" s="48">
        <v>482.66300000000001</v>
      </c>
      <c r="N29" s="48">
        <v>534.00699999999995</v>
      </c>
    </row>
    <row r="30" spans="1:14" x14ac:dyDescent="0.25">
      <c r="C30" t="s">
        <v>9</v>
      </c>
      <c r="E30" s="51">
        <f>SUM(E27:E29)</f>
        <v>1341</v>
      </c>
      <c r="F30" s="51">
        <f t="shared" ref="F30:N30" si="3">SUM(F27:F29)</f>
        <v>1252</v>
      </c>
      <c r="G30" s="51">
        <f t="shared" si="3"/>
        <v>1257</v>
      </c>
      <c r="H30" s="51">
        <f t="shared" si="3"/>
        <v>1088</v>
      </c>
      <c r="I30" s="51">
        <f t="shared" si="3"/>
        <v>977.18799999999999</v>
      </c>
      <c r="J30" s="51">
        <f t="shared" si="3"/>
        <v>879.36099999999999</v>
      </c>
      <c r="K30" s="51">
        <f t="shared" si="3"/>
        <v>747.87199999999996</v>
      </c>
      <c r="L30" s="51">
        <f t="shared" si="3"/>
        <v>684.024</v>
      </c>
      <c r="M30" s="51">
        <f t="shared" si="3"/>
        <v>666.17700000000002</v>
      </c>
      <c r="N30" s="51">
        <f t="shared" si="3"/>
        <v>784.51599999999996</v>
      </c>
    </row>
    <row r="31" spans="1:14" x14ac:dyDescent="0.25">
      <c r="E31" s="52"/>
      <c r="F31" s="52"/>
    </row>
    <row r="32" spans="1:14" x14ac:dyDescent="0.25">
      <c r="B32" t="s">
        <v>142</v>
      </c>
    </row>
    <row r="33" spans="1:14" ht="16.5" x14ac:dyDescent="0.35">
      <c r="C33" s="46" t="s">
        <v>140</v>
      </c>
      <c r="E33" s="49">
        <v>1048</v>
      </c>
      <c r="F33" s="49">
        <v>62</v>
      </c>
      <c r="G33" s="49">
        <v>60</v>
      </c>
      <c r="H33" s="49">
        <v>26</v>
      </c>
      <c r="I33" s="49">
        <v>23.11</v>
      </c>
      <c r="J33" s="49">
        <v>17.439</v>
      </c>
      <c r="K33" s="49">
        <v>508.28800000000001</v>
      </c>
      <c r="L33" s="49">
        <v>738.84799999999996</v>
      </c>
      <c r="M33" s="49">
        <v>928.79</v>
      </c>
      <c r="N33" s="49">
        <v>736.08699999999999</v>
      </c>
    </row>
    <row r="34" spans="1:14" ht="16.5" x14ac:dyDescent="0.35">
      <c r="C34" s="46" t="s">
        <v>141</v>
      </c>
      <c r="E34" s="50">
        <v>728</v>
      </c>
      <c r="F34" s="50">
        <v>658</v>
      </c>
      <c r="G34" s="50">
        <v>614</v>
      </c>
      <c r="H34" s="50">
        <v>546</v>
      </c>
      <c r="I34" s="50">
        <v>491.44900000000001</v>
      </c>
      <c r="J34" s="50">
        <v>403.97</v>
      </c>
      <c r="K34" s="50">
        <v>357.12200000000001</v>
      </c>
      <c r="L34" s="50">
        <v>319.58800000000002</v>
      </c>
      <c r="M34" s="50">
        <v>279.745</v>
      </c>
      <c r="N34" s="50">
        <v>233.721</v>
      </c>
    </row>
    <row r="35" spans="1:14" x14ac:dyDescent="0.25">
      <c r="C35" t="s">
        <v>143</v>
      </c>
      <c r="E35" s="53">
        <f>SUM(E33:E34)</f>
        <v>1776</v>
      </c>
      <c r="F35" s="53">
        <f t="shared" ref="F35:N35" si="4">SUM(F33:F34)</f>
        <v>720</v>
      </c>
      <c r="G35" s="53">
        <f t="shared" si="4"/>
        <v>674</v>
      </c>
      <c r="H35" s="53">
        <f t="shared" si="4"/>
        <v>572</v>
      </c>
      <c r="I35" s="53">
        <f t="shared" si="4"/>
        <v>514.55899999999997</v>
      </c>
      <c r="J35" s="53">
        <f t="shared" si="4"/>
        <v>421.40900000000005</v>
      </c>
      <c r="K35" s="53">
        <f t="shared" si="4"/>
        <v>865.41000000000008</v>
      </c>
      <c r="L35" s="53">
        <f t="shared" si="4"/>
        <v>1058.4359999999999</v>
      </c>
      <c r="M35" s="53">
        <f t="shared" si="4"/>
        <v>1208.5349999999999</v>
      </c>
      <c r="N35" s="53">
        <f t="shared" si="4"/>
        <v>969.80799999999999</v>
      </c>
    </row>
    <row r="36" spans="1:14" x14ac:dyDescent="0.25">
      <c r="E36" s="52"/>
      <c r="F36" s="52"/>
    </row>
    <row r="37" spans="1:14" x14ac:dyDescent="0.25">
      <c r="B37" t="s">
        <v>144</v>
      </c>
      <c r="E37" s="54">
        <f>E30+E35</f>
        <v>3117</v>
      </c>
      <c r="F37" s="54">
        <f t="shared" ref="F37:N37" si="5">F30+F35</f>
        <v>1972</v>
      </c>
      <c r="G37" s="54">
        <f t="shared" si="5"/>
        <v>1931</v>
      </c>
      <c r="H37" s="54">
        <f t="shared" si="5"/>
        <v>1660</v>
      </c>
      <c r="I37" s="54">
        <f t="shared" si="5"/>
        <v>1491.7469999999998</v>
      </c>
      <c r="J37" s="54">
        <f t="shared" si="5"/>
        <v>1300.77</v>
      </c>
      <c r="K37" s="54">
        <f t="shared" si="5"/>
        <v>1613.2820000000002</v>
      </c>
      <c r="L37" s="54">
        <f t="shared" si="5"/>
        <v>1742.46</v>
      </c>
      <c r="M37" s="54">
        <f t="shared" si="5"/>
        <v>1874.712</v>
      </c>
      <c r="N37" s="54">
        <f t="shared" si="5"/>
        <v>1754.3240000000001</v>
      </c>
    </row>
    <row r="39" spans="1:14" x14ac:dyDescent="0.25">
      <c r="B39" t="s">
        <v>17</v>
      </c>
    </row>
    <row r="40" spans="1:14" ht="16.5" x14ac:dyDescent="0.35">
      <c r="C40" s="46" t="s">
        <v>145</v>
      </c>
      <c r="E40" s="49">
        <v>2933</v>
      </c>
      <c r="F40" s="49">
        <v>2904</v>
      </c>
      <c r="G40" s="49">
        <v>2863</v>
      </c>
      <c r="H40" s="49">
        <v>2765</v>
      </c>
      <c r="I40" s="49">
        <v>2592.3690000000001</v>
      </c>
      <c r="J40" s="49">
        <v>2120.9720000000002</v>
      </c>
      <c r="K40" s="49">
        <v>1773.8969999999999</v>
      </c>
      <c r="L40" s="49">
        <v>1283.028</v>
      </c>
      <c r="M40" s="49">
        <v>1066.18</v>
      </c>
      <c r="N40" s="49">
        <v>1232.845</v>
      </c>
    </row>
    <row r="41" spans="1:14" ht="16.5" x14ac:dyDescent="0.35">
      <c r="C41" s="46" t="s">
        <v>146</v>
      </c>
      <c r="E41" s="49">
        <v>-2026</v>
      </c>
      <c r="F41" s="49">
        <v>-1124</v>
      </c>
      <c r="G41" s="49">
        <v>-711</v>
      </c>
      <c r="H41" s="49">
        <v>-153</v>
      </c>
      <c r="I41" s="49">
        <v>-28.599</v>
      </c>
      <c r="J41" s="49">
        <v>0</v>
      </c>
      <c r="K41" s="49">
        <v>0</v>
      </c>
      <c r="L41" s="49">
        <v>0</v>
      </c>
      <c r="M41" s="49">
        <v>0</v>
      </c>
      <c r="N41" s="49">
        <v>-199.96100000000001</v>
      </c>
    </row>
    <row r="42" spans="1:14" ht="16.5" x14ac:dyDescent="0.35">
      <c r="C42" s="46" t="s">
        <v>147</v>
      </c>
      <c r="E42" s="49">
        <v>2349</v>
      </c>
      <c r="F42" s="49">
        <v>2017</v>
      </c>
      <c r="G42" s="49">
        <v>1668</v>
      </c>
      <c r="H42" s="49">
        <v>1265</v>
      </c>
      <c r="I42" s="49">
        <v>1233.433</v>
      </c>
      <c r="J42" s="49">
        <v>870.49699999999996</v>
      </c>
      <c r="K42" s="49">
        <v>598.57000000000005</v>
      </c>
      <c r="L42" s="49">
        <v>358.21499999999997</v>
      </c>
      <c r="M42" s="49">
        <v>439.42200000000003</v>
      </c>
      <c r="N42" s="49">
        <v>410.19799999999998</v>
      </c>
    </row>
    <row r="43" spans="1:14" ht="16.5" x14ac:dyDescent="0.35">
      <c r="C43" s="46" t="s">
        <v>148</v>
      </c>
      <c r="E43" s="50">
        <v>-32</v>
      </c>
      <c r="F43" s="50">
        <v>-28</v>
      </c>
      <c r="G43" s="50">
        <v>-7</v>
      </c>
      <c r="H43" s="50">
        <v>1</v>
      </c>
      <c r="I43" s="50">
        <v>5.266</v>
      </c>
      <c r="J43" s="50">
        <v>-0.16400000000000001</v>
      </c>
      <c r="K43" s="50">
        <v>0.79100000000000004</v>
      </c>
      <c r="L43" s="50">
        <v>-12.667</v>
      </c>
      <c r="M43" s="50">
        <v>-7.5780000000000003</v>
      </c>
      <c r="N43" s="50" t="s">
        <v>37</v>
      </c>
    </row>
    <row r="44" spans="1:14" x14ac:dyDescent="0.25">
      <c r="C44" t="s">
        <v>10</v>
      </c>
      <c r="E44" s="55">
        <f>SUM(E40:E43)</f>
        <v>3224</v>
      </c>
      <c r="F44" s="55">
        <f t="shared" ref="F44:N44" si="6">SUM(F40:F43)</f>
        <v>3769</v>
      </c>
      <c r="G44" s="55">
        <f t="shared" si="6"/>
        <v>3813</v>
      </c>
      <c r="H44" s="55">
        <f t="shared" si="6"/>
        <v>3878</v>
      </c>
      <c r="I44" s="55">
        <f t="shared" si="6"/>
        <v>3802.4690000000001</v>
      </c>
      <c r="J44" s="55">
        <f t="shared" si="6"/>
        <v>2991.3049999999998</v>
      </c>
      <c r="K44" s="55">
        <f t="shared" si="6"/>
        <v>2373.2580000000003</v>
      </c>
      <c r="L44" s="55">
        <f t="shared" si="6"/>
        <v>1628.576</v>
      </c>
      <c r="M44" s="55">
        <f t="shared" si="6"/>
        <v>1498.0240000000001</v>
      </c>
      <c r="N44" s="55">
        <f t="shared" si="6"/>
        <v>1443.0819999999999</v>
      </c>
    </row>
    <row r="46" spans="1:14" ht="15.75" thickBot="1" x14ac:dyDescent="0.3">
      <c r="A46" s="3" t="s">
        <v>11</v>
      </c>
      <c r="E46" s="56">
        <f>E37+E44</f>
        <v>6341</v>
      </c>
      <c r="F46" s="56">
        <f t="shared" ref="F46:N46" si="7">F37+F44</f>
        <v>5741</v>
      </c>
      <c r="G46" s="56">
        <f t="shared" si="7"/>
        <v>5744</v>
      </c>
      <c r="H46" s="56">
        <f t="shared" si="7"/>
        <v>5538</v>
      </c>
      <c r="I46" s="56">
        <f t="shared" si="7"/>
        <v>5294.2160000000003</v>
      </c>
      <c r="J46" s="56">
        <f t="shared" si="7"/>
        <v>4292.0749999999998</v>
      </c>
      <c r="K46" s="56">
        <f t="shared" si="7"/>
        <v>3986.5400000000004</v>
      </c>
      <c r="L46" s="56">
        <f t="shared" si="7"/>
        <v>3371.0360000000001</v>
      </c>
      <c r="M46" s="56">
        <f t="shared" si="7"/>
        <v>3372.7359999999999</v>
      </c>
      <c r="N46" s="56">
        <f t="shared" si="7"/>
        <v>3197.4059999999999</v>
      </c>
    </row>
    <row r="47" spans="1:14" ht="15.75" thickTop="1" x14ac:dyDescent="0.25"/>
    <row r="48" spans="1:14" x14ac:dyDescent="0.25">
      <c r="A48" s="3" t="s">
        <v>195</v>
      </c>
      <c r="B48" s="5"/>
      <c r="E48" s="55">
        <f>E35+E44</f>
        <v>5000</v>
      </c>
      <c r="F48" s="55">
        <f t="shared" ref="F48:N48" si="8">F35+F44</f>
        <v>4489</v>
      </c>
      <c r="G48" s="55">
        <f t="shared" si="8"/>
        <v>4487</v>
      </c>
      <c r="H48" s="55">
        <f t="shared" si="8"/>
        <v>4450</v>
      </c>
      <c r="I48" s="55">
        <f t="shared" si="8"/>
        <v>4317.0280000000002</v>
      </c>
      <c r="J48" s="55">
        <f t="shared" si="8"/>
        <v>3412.7139999999999</v>
      </c>
      <c r="K48" s="55">
        <f t="shared" si="8"/>
        <v>3238.6680000000006</v>
      </c>
      <c r="L48" s="55">
        <f t="shared" si="8"/>
        <v>2687.0119999999997</v>
      </c>
      <c r="M48" s="55">
        <f t="shared" si="8"/>
        <v>2706.5590000000002</v>
      </c>
      <c r="N48" s="55">
        <f t="shared" si="8"/>
        <v>2412.89</v>
      </c>
    </row>
    <row r="49" spans="1:14" x14ac:dyDescent="0.25">
      <c r="A49" s="5"/>
      <c r="B49" s="5"/>
    </row>
    <row r="50" spans="1:14" x14ac:dyDescent="0.25">
      <c r="A50" s="5"/>
      <c r="B50" s="5"/>
    </row>
    <row r="53" spans="1:14" x14ac:dyDescent="0.25">
      <c r="A53" s="76" t="s">
        <v>1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</row>
    <row r="54" spans="1:14" x14ac:dyDescent="0.25">
      <c r="A54" s="76" t="s">
        <v>4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</row>
    <row r="55" spans="1:14" x14ac:dyDescent="0.25">
      <c r="A55" s="76" t="s">
        <v>6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</row>
    <row r="56" spans="1:14" x14ac:dyDescent="0.25">
      <c r="A56" s="76" t="s">
        <v>5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</row>
    <row r="57" spans="1:14" x14ac:dyDescent="0.25">
      <c r="A57" s="2"/>
      <c r="B57" s="2"/>
      <c r="C57" s="2"/>
      <c r="D57" s="2"/>
      <c r="E57" s="2"/>
      <c r="F57" s="2"/>
      <c r="G57" s="2"/>
    </row>
    <row r="58" spans="1:14" x14ac:dyDescent="0.25">
      <c r="E58" s="3">
        <v>2016</v>
      </c>
      <c r="F58" s="3">
        <f>E58-1</f>
        <v>2015</v>
      </c>
      <c r="G58" s="3">
        <f t="shared" ref="G58:N58" si="9">F58-1</f>
        <v>2014</v>
      </c>
      <c r="H58" s="3">
        <f t="shared" si="9"/>
        <v>2013</v>
      </c>
      <c r="I58" s="3">
        <f t="shared" si="9"/>
        <v>2012</v>
      </c>
      <c r="J58" s="3">
        <f t="shared" si="9"/>
        <v>2011</v>
      </c>
      <c r="K58" s="3">
        <f t="shared" si="9"/>
        <v>2010</v>
      </c>
      <c r="L58" s="3">
        <f t="shared" si="9"/>
        <v>2009</v>
      </c>
      <c r="M58" s="3">
        <f t="shared" si="9"/>
        <v>2008</v>
      </c>
      <c r="N58" s="3">
        <f t="shared" si="9"/>
        <v>2007</v>
      </c>
    </row>
    <row r="59" spans="1:14" ht="16.5" x14ac:dyDescent="0.35">
      <c r="C59" s="46" t="s">
        <v>12</v>
      </c>
      <c r="E59" s="58">
        <v>15724</v>
      </c>
      <c r="F59" s="58">
        <v>15389</v>
      </c>
      <c r="G59" s="58">
        <v>14194</v>
      </c>
      <c r="H59" s="58">
        <v>12917</v>
      </c>
      <c r="I59" s="58">
        <v>11698.828</v>
      </c>
      <c r="J59" s="58">
        <v>10107.787</v>
      </c>
      <c r="K59" s="58">
        <v>9005.7939999999999</v>
      </c>
      <c r="L59" s="58">
        <v>8031.62</v>
      </c>
      <c r="M59" s="58">
        <v>7953.9120000000003</v>
      </c>
      <c r="N59" s="58">
        <v>6591.7730000000001</v>
      </c>
    </row>
    <row r="60" spans="1:14" ht="16.5" x14ac:dyDescent="0.35">
      <c r="C60" s="46"/>
      <c r="E60" s="58"/>
      <c r="F60" s="58"/>
      <c r="G60" s="58"/>
      <c r="H60" s="58"/>
      <c r="I60" s="58"/>
      <c r="J60" s="58"/>
      <c r="K60" s="58"/>
      <c r="L60" s="58"/>
      <c r="M60" s="58"/>
      <c r="N60" s="58"/>
    </row>
    <row r="61" spans="1:14" ht="16.5" x14ac:dyDescent="0.35">
      <c r="C61" s="46" t="s">
        <v>150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</row>
    <row r="62" spans="1:14" ht="16.5" x14ac:dyDescent="0.35">
      <c r="D62" s="46" t="s">
        <v>151</v>
      </c>
      <c r="E62" s="58">
        <v>9815</v>
      </c>
      <c r="F62" s="58">
        <v>9534</v>
      </c>
      <c r="G62" s="58">
        <v>8773</v>
      </c>
      <c r="H62" s="58">
        <v>7949</v>
      </c>
      <c r="I62" s="58">
        <v>7231.5039999999999</v>
      </c>
      <c r="J62" s="58">
        <v>6284.1289999999999</v>
      </c>
      <c r="K62" s="58">
        <v>5594.8040000000001</v>
      </c>
      <c r="L62" s="58">
        <v>5010.6149999999998</v>
      </c>
      <c r="M62" s="58">
        <v>4997.9939999999997</v>
      </c>
      <c r="N62" s="58">
        <v>4108.78</v>
      </c>
    </row>
    <row r="63" spans="1:14" ht="16.5" x14ac:dyDescent="0.35">
      <c r="D63" s="46" t="s">
        <v>51</v>
      </c>
      <c r="E63" s="58">
        <v>4541</v>
      </c>
      <c r="F63" s="58">
        <v>4457</v>
      </c>
      <c r="G63" s="58">
        <v>4099</v>
      </c>
      <c r="H63" s="58">
        <v>3734</v>
      </c>
      <c r="I63" s="58">
        <v>3401.1550000000002</v>
      </c>
      <c r="J63" s="58">
        <v>2979.422</v>
      </c>
      <c r="K63" s="58">
        <v>2682.4479999999999</v>
      </c>
      <c r="L63" s="58">
        <v>2409.2620000000002</v>
      </c>
      <c r="M63" s="58">
        <v>2433.922</v>
      </c>
      <c r="N63" s="58">
        <v>1986.152</v>
      </c>
    </row>
    <row r="64" spans="1:14" ht="16.5" x14ac:dyDescent="0.35">
      <c r="D64" s="46" t="s">
        <v>128</v>
      </c>
      <c r="E64" s="58">
        <v>478</v>
      </c>
      <c r="F64" s="58">
        <v>422</v>
      </c>
      <c r="G64" s="58">
        <v>372</v>
      </c>
      <c r="H64" s="58">
        <v>334</v>
      </c>
      <c r="I64" s="58">
        <v>305.14999999999998</v>
      </c>
      <c r="J64" s="58">
        <v>280.30900000000003</v>
      </c>
      <c r="K64" s="58">
        <v>269.589</v>
      </c>
      <c r="L64" s="58">
        <v>258.79500000000002</v>
      </c>
      <c r="M64" s="58">
        <v>236.31299999999999</v>
      </c>
      <c r="N64" s="58">
        <v>183.69</v>
      </c>
    </row>
    <row r="65" spans="3:14" ht="16.5" x14ac:dyDescent="0.35">
      <c r="D65" s="46" t="s">
        <v>149</v>
      </c>
      <c r="E65" s="59">
        <v>20</v>
      </c>
      <c r="F65" s="59">
        <v>17</v>
      </c>
      <c r="G65" s="59">
        <v>5</v>
      </c>
      <c r="H65" s="59">
        <v>5</v>
      </c>
      <c r="I65" s="59">
        <v>6.4</v>
      </c>
      <c r="J65" s="59">
        <v>6.8</v>
      </c>
      <c r="K65" s="59">
        <v>6</v>
      </c>
      <c r="L65" s="59">
        <v>7.9</v>
      </c>
      <c r="M65" s="59">
        <v>12.9</v>
      </c>
      <c r="N65" s="59">
        <v>2.7</v>
      </c>
    </row>
    <row r="66" spans="3:14" ht="16.5" x14ac:dyDescent="0.35">
      <c r="D66" s="46" t="s">
        <v>152</v>
      </c>
      <c r="E66" s="58">
        <f>SUM(E62:E65)</f>
        <v>14854</v>
      </c>
      <c r="F66" s="58">
        <f t="shared" ref="F66:N66" si="10">SUM(F62:F65)</f>
        <v>14430</v>
      </c>
      <c r="G66" s="58">
        <f t="shared" si="10"/>
        <v>13249</v>
      </c>
      <c r="H66" s="58">
        <f t="shared" si="10"/>
        <v>12022</v>
      </c>
      <c r="I66" s="58">
        <f t="shared" si="10"/>
        <v>10944.208999999999</v>
      </c>
      <c r="J66" s="58">
        <f t="shared" si="10"/>
        <v>9550.659999999998</v>
      </c>
      <c r="K66" s="58">
        <f t="shared" si="10"/>
        <v>8552.8410000000003</v>
      </c>
      <c r="L66" s="58">
        <f t="shared" si="10"/>
        <v>7686.5720000000001</v>
      </c>
      <c r="M66" s="58">
        <f t="shared" si="10"/>
        <v>7681.128999999999</v>
      </c>
      <c r="N66" s="58">
        <f t="shared" si="10"/>
        <v>6281.3219999999992</v>
      </c>
    </row>
    <row r="67" spans="3:14" ht="16.5" x14ac:dyDescent="0.35">
      <c r="D67" s="46"/>
      <c r="E67" s="58"/>
      <c r="F67" s="58"/>
      <c r="G67" s="58"/>
      <c r="H67" s="58"/>
      <c r="I67" s="58"/>
      <c r="J67" s="58"/>
      <c r="K67" s="58"/>
      <c r="L67" s="58"/>
      <c r="M67" s="58"/>
      <c r="N67" s="58"/>
    </row>
    <row r="68" spans="3:14" ht="16.5" x14ac:dyDescent="0.35">
      <c r="C68" s="46" t="s">
        <v>20</v>
      </c>
      <c r="E68" s="58">
        <f>E59-E66</f>
        <v>870</v>
      </c>
      <c r="F68" s="58">
        <f t="shared" ref="F68:N68" si="11">F59-SUM(F62:F65)</f>
        <v>959</v>
      </c>
      <c r="G68" s="58">
        <f t="shared" si="11"/>
        <v>945</v>
      </c>
      <c r="H68" s="58">
        <f t="shared" si="11"/>
        <v>895</v>
      </c>
      <c r="I68" s="58">
        <f t="shared" si="11"/>
        <v>754.6190000000006</v>
      </c>
      <c r="J68" s="58">
        <f t="shared" si="11"/>
        <v>557.12700000000223</v>
      </c>
      <c r="K68" s="58">
        <f t="shared" si="11"/>
        <v>452.95299999999952</v>
      </c>
      <c r="L68" s="58">
        <f t="shared" si="11"/>
        <v>345.04799999999977</v>
      </c>
      <c r="M68" s="58">
        <f t="shared" si="11"/>
        <v>272.78300000000127</v>
      </c>
      <c r="N68" s="58">
        <f t="shared" si="11"/>
        <v>310.45100000000093</v>
      </c>
    </row>
    <row r="69" spans="3:14" ht="16.5" x14ac:dyDescent="0.35">
      <c r="D69" s="46"/>
      <c r="E69" s="58"/>
      <c r="F69" s="58"/>
      <c r="G69" s="58"/>
      <c r="H69" s="58"/>
      <c r="I69" s="58"/>
      <c r="J69" s="58"/>
      <c r="K69" s="58"/>
      <c r="L69" s="58"/>
      <c r="M69" s="58"/>
      <c r="N69" s="58"/>
    </row>
    <row r="70" spans="3:14" ht="16.5" x14ac:dyDescent="0.35">
      <c r="D70" s="46" t="s">
        <v>153</v>
      </c>
      <c r="E70" s="58">
        <v>11</v>
      </c>
      <c r="F70" s="58">
        <v>17</v>
      </c>
      <c r="G70" s="58">
        <v>12</v>
      </c>
      <c r="H70" s="58">
        <v>11</v>
      </c>
      <c r="I70" s="58">
        <v>8.8919999999999995</v>
      </c>
      <c r="J70" s="58">
        <v>7.774</v>
      </c>
      <c r="K70" s="58">
        <v>-14.846</v>
      </c>
      <c r="L70" s="58">
        <v>-10.951000000000001</v>
      </c>
      <c r="M70" s="58">
        <v>6.6970000000000001</v>
      </c>
      <c r="N70" s="58">
        <v>11.324</v>
      </c>
    </row>
    <row r="71" spans="3:14" ht="16.5" x14ac:dyDescent="0.35">
      <c r="D71" s="46" t="s">
        <v>54</v>
      </c>
      <c r="E71" s="58">
        <v>41</v>
      </c>
      <c r="F71" s="58" t="s">
        <v>37</v>
      </c>
      <c r="G71" s="58">
        <v>0</v>
      </c>
      <c r="H71" s="58">
        <v>0</v>
      </c>
      <c r="I71" s="58">
        <v>0.35399999999999998</v>
      </c>
      <c r="J71" s="58">
        <v>3.6819999999999999</v>
      </c>
      <c r="K71" s="58">
        <v>11.348000000000001</v>
      </c>
      <c r="L71" s="58">
        <v>22.456</v>
      </c>
      <c r="M71" s="58">
        <v>36.415999999999997</v>
      </c>
      <c r="N71" s="58">
        <v>4.2080000000000002</v>
      </c>
    </row>
    <row r="72" spans="3:14" ht="16.5" x14ac:dyDescent="0.35">
      <c r="D72" s="46" t="s">
        <v>154</v>
      </c>
      <c r="E72" s="59">
        <v>13</v>
      </c>
      <c r="F72" s="59">
        <v>98</v>
      </c>
      <c r="G72" s="59">
        <v>11</v>
      </c>
      <c r="H72" s="59">
        <v>12</v>
      </c>
      <c r="I72" s="59">
        <v>11.113</v>
      </c>
      <c r="J72" s="59">
        <v>9.5069999999999997</v>
      </c>
      <c r="K72" s="59">
        <v>14.978</v>
      </c>
      <c r="L72" s="59">
        <v>60.698999999999998</v>
      </c>
      <c r="M72" s="59">
        <v>36.545000000000002</v>
      </c>
      <c r="N72" s="59">
        <v>13</v>
      </c>
    </row>
    <row r="73" spans="3:14" ht="16.5" x14ac:dyDescent="0.35">
      <c r="D73" s="46"/>
      <c r="E73" s="58"/>
      <c r="F73" s="58"/>
      <c r="G73" s="58"/>
      <c r="H73" s="58"/>
      <c r="I73" s="58"/>
      <c r="J73" s="58"/>
      <c r="K73" s="58"/>
      <c r="L73" s="58"/>
      <c r="M73" s="58"/>
      <c r="N73" s="58"/>
    </row>
    <row r="74" spans="3:14" ht="16.5" x14ac:dyDescent="0.35">
      <c r="C74" s="46" t="s">
        <v>55</v>
      </c>
      <c r="E74" s="58">
        <f>E68+E70-SUM(E71:E72)</f>
        <v>827</v>
      </c>
      <c r="F74" s="58">
        <f t="shared" ref="F74:N74" si="12">F68+F70-SUM(F71:F72)</f>
        <v>878</v>
      </c>
      <c r="G74" s="58">
        <f t="shared" si="12"/>
        <v>946</v>
      </c>
      <c r="H74" s="58">
        <f t="shared" si="12"/>
        <v>894</v>
      </c>
      <c r="I74" s="58">
        <f t="shared" si="12"/>
        <v>752.04400000000066</v>
      </c>
      <c r="J74" s="58">
        <f t="shared" si="12"/>
        <v>551.71200000000226</v>
      </c>
      <c r="K74" s="58">
        <f t="shared" si="12"/>
        <v>411.78099999999949</v>
      </c>
      <c r="L74" s="58">
        <f t="shared" si="12"/>
        <v>250.94199999999975</v>
      </c>
      <c r="M74" s="58">
        <f t="shared" si="12"/>
        <v>206.51900000000126</v>
      </c>
      <c r="N74" s="58">
        <f t="shared" si="12"/>
        <v>304.56700000000092</v>
      </c>
    </row>
    <row r="75" spans="3:14" ht="16.5" x14ac:dyDescent="0.35">
      <c r="D75" s="46"/>
      <c r="E75" s="58"/>
      <c r="F75" s="58"/>
      <c r="G75" s="58"/>
      <c r="H75" s="58"/>
      <c r="I75" s="58"/>
      <c r="J75" s="58"/>
      <c r="K75" s="58"/>
      <c r="L75" s="58"/>
      <c r="M75" s="58"/>
      <c r="N75" s="58"/>
    </row>
    <row r="76" spans="3:14" ht="16.5" x14ac:dyDescent="0.35">
      <c r="D76" s="46" t="s">
        <v>155</v>
      </c>
      <c r="E76" s="59">
        <v>320</v>
      </c>
      <c r="F76" s="59">
        <v>342</v>
      </c>
      <c r="G76" s="59">
        <v>367</v>
      </c>
      <c r="H76" s="59">
        <v>343</v>
      </c>
      <c r="I76" s="59">
        <v>286.471</v>
      </c>
      <c r="J76" s="59">
        <v>209.1</v>
      </c>
      <c r="K76" s="59">
        <v>165.94800000000001</v>
      </c>
      <c r="L76" s="59">
        <v>104.13800000000001</v>
      </c>
      <c r="M76" s="59">
        <v>91.995000000000005</v>
      </c>
      <c r="N76" s="59">
        <v>121.827</v>
      </c>
    </row>
    <row r="77" spans="3:14" ht="16.5" x14ac:dyDescent="0.35">
      <c r="D77" s="46"/>
      <c r="E77" s="58"/>
      <c r="F77" s="58"/>
      <c r="G77" s="58"/>
      <c r="H77" s="58"/>
      <c r="I77" s="58"/>
      <c r="J77" s="58"/>
      <c r="K77" s="58"/>
      <c r="L77" s="58"/>
      <c r="M77" s="58"/>
      <c r="N77" s="58"/>
    </row>
    <row r="78" spans="3:14" ht="17.25" thickBot="1" x14ac:dyDescent="0.4">
      <c r="C78" s="46" t="s">
        <v>57</v>
      </c>
      <c r="E78" s="60">
        <f>E74-E76</f>
        <v>507</v>
      </c>
      <c r="F78" s="60">
        <f t="shared" ref="F78:N78" si="13">F74-F76</f>
        <v>536</v>
      </c>
      <c r="G78" s="60">
        <f t="shared" si="13"/>
        <v>579</v>
      </c>
      <c r="H78" s="60">
        <f t="shared" si="13"/>
        <v>551</v>
      </c>
      <c r="I78" s="60">
        <f t="shared" si="13"/>
        <v>465.57300000000066</v>
      </c>
      <c r="J78" s="60">
        <f t="shared" si="13"/>
        <v>342.61200000000224</v>
      </c>
      <c r="K78" s="60">
        <f t="shared" si="13"/>
        <v>245.83299999999949</v>
      </c>
      <c r="L78" s="60">
        <f t="shared" si="13"/>
        <v>146.80399999999975</v>
      </c>
      <c r="M78" s="60">
        <f t="shared" si="13"/>
        <v>114.52400000000125</v>
      </c>
      <c r="N78" s="60">
        <f t="shared" si="13"/>
        <v>182.74000000000092</v>
      </c>
    </row>
    <row r="79" spans="3:14" ht="17.25" thickTop="1" x14ac:dyDescent="0.35">
      <c r="D79" s="46"/>
      <c r="E79" s="58"/>
      <c r="F79" s="58"/>
      <c r="G79" s="58"/>
      <c r="H79" s="58"/>
      <c r="I79" s="58"/>
      <c r="J79" s="58"/>
      <c r="K79" s="58"/>
      <c r="L79" s="58"/>
      <c r="M79" s="58"/>
      <c r="N79" s="58"/>
    </row>
    <row r="80" spans="3:14" ht="16.5" x14ac:dyDescent="0.35">
      <c r="C80" s="46" t="s">
        <v>156</v>
      </c>
      <c r="E80" s="58">
        <v>0</v>
      </c>
      <c r="F80" s="58">
        <v>0</v>
      </c>
      <c r="G80" s="58">
        <v>0</v>
      </c>
      <c r="H80" s="58">
        <v>0</v>
      </c>
      <c r="I80" s="58">
        <v>0</v>
      </c>
      <c r="J80" s="58">
        <v>0</v>
      </c>
      <c r="K80" s="58">
        <v>5.4779999999999998</v>
      </c>
      <c r="L80" s="58">
        <v>28.05</v>
      </c>
      <c r="M80" s="58">
        <v>0</v>
      </c>
      <c r="N80" s="58">
        <v>0</v>
      </c>
    </row>
    <row r="81" spans="2:14" ht="16.5" x14ac:dyDescent="0.35">
      <c r="C81" s="46" t="s">
        <v>157</v>
      </c>
      <c r="E81" s="59">
        <v>171.88200000000001</v>
      </c>
      <c r="F81" s="59">
        <v>181.428</v>
      </c>
      <c r="G81" s="59">
        <v>172.99199999999999</v>
      </c>
      <c r="H81" s="59">
        <v>148.96</v>
      </c>
      <c r="I81" s="59">
        <v>103.84472000000001</v>
      </c>
      <c r="J81" s="59">
        <v>71.554400000000001</v>
      </c>
      <c r="K81" s="59">
        <v>0</v>
      </c>
      <c r="L81" s="59">
        <v>0</v>
      </c>
      <c r="M81" s="59">
        <v>84.171599999999998</v>
      </c>
      <c r="N81" s="59">
        <v>100.25280000000001</v>
      </c>
    </row>
    <row r="82" spans="2:14" ht="17.25" thickBot="1" x14ac:dyDescent="0.4">
      <c r="C82" s="46" t="s">
        <v>147</v>
      </c>
      <c r="E82" s="60">
        <f>E78-SUM(E80:E81)</f>
        <v>335.11799999999999</v>
      </c>
      <c r="F82" s="60">
        <f t="shared" ref="F82:N82" si="14">F78-SUM(F80:F81)</f>
        <v>354.572</v>
      </c>
      <c r="G82" s="60">
        <f t="shared" si="14"/>
        <v>406.00800000000004</v>
      </c>
      <c r="H82" s="60">
        <f t="shared" si="14"/>
        <v>402.03999999999996</v>
      </c>
      <c r="I82" s="60">
        <f t="shared" si="14"/>
        <v>361.72828000000067</v>
      </c>
      <c r="J82" s="60">
        <f t="shared" si="14"/>
        <v>271.05760000000225</v>
      </c>
      <c r="K82" s="60">
        <f t="shared" si="14"/>
        <v>240.35499999999948</v>
      </c>
      <c r="L82" s="60">
        <f t="shared" si="14"/>
        <v>118.75399999999975</v>
      </c>
      <c r="M82" s="60">
        <f t="shared" si="14"/>
        <v>30.352400000001253</v>
      </c>
      <c r="N82" s="60">
        <f t="shared" si="14"/>
        <v>82.487200000000911</v>
      </c>
    </row>
    <row r="83" spans="2:14" ht="17.25" thickTop="1" x14ac:dyDescent="0.35">
      <c r="E83" s="49"/>
    </row>
    <row r="84" spans="2:14" x14ac:dyDescent="0.25">
      <c r="C84" t="s">
        <v>18</v>
      </c>
      <c r="E84" s="7">
        <f>E76/E74</f>
        <v>0.38694074969770254</v>
      </c>
      <c r="F84" s="7">
        <f t="shared" ref="F84:N84" si="15">F76/F74</f>
        <v>0.38952164009111617</v>
      </c>
      <c r="G84" s="7">
        <f t="shared" si="15"/>
        <v>0.38794926004228331</v>
      </c>
      <c r="H84" s="7">
        <f t="shared" si="15"/>
        <v>0.38366890380313201</v>
      </c>
      <c r="I84" s="7">
        <f t="shared" si="15"/>
        <v>0.38092319066437569</v>
      </c>
      <c r="J84" s="7">
        <f t="shared" si="15"/>
        <v>0.37900208804593544</v>
      </c>
      <c r="K84" s="7">
        <f t="shared" si="15"/>
        <v>0.4030006241181604</v>
      </c>
      <c r="L84" s="7">
        <f t="shared" si="15"/>
        <v>0.41498832399518659</v>
      </c>
      <c r="M84" s="7">
        <f t="shared" si="15"/>
        <v>0.44545538182927208</v>
      </c>
      <c r="N84" s="7">
        <f t="shared" si="15"/>
        <v>0.40000065666995976</v>
      </c>
    </row>
    <row r="90" spans="2:14" x14ac:dyDescent="0.25">
      <c r="B90" s="3" t="s">
        <v>210</v>
      </c>
      <c r="E90" s="3">
        <v>2016</v>
      </c>
      <c r="F90" s="3">
        <f>E90-1</f>
        <v>2015</v>
      </c>
      <c r="G90" s="3">
        <f t="shared" ref="G90:N90" si="16">F90-1</f>
        <v>2014</v>
      </c>
      <c r="H90" s="3">
        <f t="shared" si="16"/>
        <v>2013</v>
      </c>
      <c r="I90" s="3">
        <f t="shared" si="16"/>
        <v>2012</v>
      </c>
      <c r="J90" s="3">
        <f t="shared" si="16"/>
        <v>2011</v>
      </c>
      <c r="K90" s="3">
        <f t="shared" si="16"/>
        <v>2010</v>
      </c>
      <c r="L90" s="3">
        <f t="shared" si="16"/>
        <v>2009</v>
      </c>
      <c r="M90" s="3">
        <f t="shared" si="16"/>
        <v>2008</v>
      </c>
      <c r="N90" s="3">
        <f t="shared" si="16"/>
        <v>2007</v>
      </c>
    </row>
    <row r="91" spans="2:14" ht="16.5" x14ac:dyDescent="0.35">
      <c r="C91" s="46" t="s">
        <v>198</v>
      </c>
      <c r="E91" s="57">
        <v>34.412362999999999</v>
      </c>
      <c r="F91" s="57">
        <v>35.19397</v>
      </c>
      <c r="G91" s="57">
        <v>35.536141999999998</v>
      </c>
      <c r="H91" s="57">
        <v>35.836494999999999</v>
      </c>
      <c r="I91" s="57">
        <v>35.522993999999997</v>
      </c>
      <c r="J91" s="57">
        <v>34.988360999999998</v>
      </c>
      <c r="K91" s="57">
        <v>34.815376000000001</v>
      </c>
      <c r="L91" s="57">
        <v>34.293331000000002</v>
      </c>
      <c r="M91" s="57">
        <v>34.029859000000002</v>
      </c>
      <c r="N91" s="57">
        <v>34.840443999999998</v>
      </c>
    </row>
    <row r="92" spans="2:14" ht="16.5" x14ac:dyDescent="0.35">
      <c r="C92" s="46" t="s">
        <v>199</v>
      </c>
      <c r="E92" s="57">
        <v>28.87942</v>
      </c>
      <c r="F92" s="57">
        <v>28.962246</v>
      </c>
      <c r="G92" s="57">
        <v>28.878399000000002</v>
      </c>
      <c r="H92" s="57">
        <v>28.907641000000002</v>
      </c>
      <c r="I92" s="57">
        <v>29.072613</v>
      </c>
      <c r="J92" s="57">
        <v>29.476502</v>
      </c>
      <c r="K92" s="57">
        <v>29.785802</v>
      </c>
      <c r="L92" s="57">
        <v>29.997211</v>
      </c>
      <c r="M92" s="57">
        <v>30.600313</v>
      </c>
      <c r="N92" s="57">
        <v>30.130770999999999</v>
      </c>
    </row>
    <row r="93" spans="2:14" ht="16.5" x14ac:dyDescent="0.35">
      <c r="C93" s="46" t="s">
        <v>200</v>
      </c>
      <c r="E93" s="57">
        <v>5.5329430000000004</v>
      </c>
      <c r="F93" s="57">
        <v>6.2317239999999998</v>
      </c>
      <c r="G93" s="57">
        <v>6.657743</v>
      </c>
      <c r="H93" s="57">
        <v>6.9288530000000002</v>
      </c>
      <c r="I93" s="57">
        <v>6.4503810000000001</v>
      </c>
      <c r="J93" s="57">
        <v>5.5118590000000003</v>
      </c>
      <c r="K93" s="57">
        <v>5.0295730000000001</v>
      </c>
      <c r="L93" s="57">
        <v>4.2961200000000002</v>
      </c>
      <c r="M93" s="57">
        <v>3.4295450000000001</v>
      </c>
      <c r="N93" s="57">
        <v>4.7096739999999997</v>
      </c>
    </row>
    <row r="94" spans="2:14" ht="16.5" x14ac:dyDescent="0.35">
      <c r="C94" s="46" t="s">
        <v>201</v>
      </c>
      <c r="E94" s="57">
        <v>5.2594760000000003</v>
      </c>
      <c r="F94" s="57">
        <v>5.7053739999999999</v>
      </c>
      <c r="G94" s="57">
        <v>6.6647879999999997</v>
      </c>
      <c r="H94" s="57">
        <v>6.9211119999999999</v>
      </c>
      <c r="I94" s="57">
        <v>6.4283700000000001</v>
      </c>
      <c r="J94" s="57">
        <v>5.4582870000000003</v>
      </c>
      <c r="K94" s="57">
        <v>4.5724010000000002</v>
      </c>
      <c r="L94" s="57">
        <v>3.1244260000000001</v>
      </c>
      <c r="M94" s="57">
        <v>2.5964459999999998</v>
      </c>
      <c r="N94" s="57">
        <v>4.6204109999999998</v>
      </c>
    </row>
    <row r="95" spans="2:14" ht="16.5" x14ac:dyDescent="0.35">
      <c r="C95" s="46" t="s">
        <v>202</v>
      </c>
      <c r="E95" s="57">
        <v>3.22437</v>
      </c>
      <c r="F95" s="57">
        <v>3.4830070000000002</v>
      </c>
      <c r="G95" s="57">
        <v>4.0791880000000003</v>
      </c>
      <c r="H95" s="57">
        <v>4.2656960000000002</v>
      </c>
      <c r="I95" s="57">
        <v>3.9796550000000002</v>
      </c>
      <c r="J95" s="57">
        <v>3.3895849999999998</v>
      </c>
      <c r="K95" s="57">
        <v>2.7297199999999999</v>
      </c>
      <c r="L95" s="57">
        <v>1.827826</v>
      </c>
      <c r="M95" s="57">
        <v>1.439845</v>
      </c>
      <c r="N95" s="57">
        <v>2.7722440000000002</v>
      </c>
    </row>
    <row r="96" spans="2:14" ht="16.5" x14ac:dyDescent="0.35">
      <c r="C96" s="46" t="s">
        <v>203</v>
      </c>
      <c r="E96" s="57">
        <v>2.543882</v>
      </c>
      <c r="F96" s="57">
        <v>1.8064849999999999</v>
      </c>
      <c r="G96" s="57">
        <v>2.663097</v>
      </c>
      <c r="H96" s="57">
        <v>6.2785479999999998</v>
      </c>
      <c r="I96" s="57">
        <v>3.9616449999999999</v>
      </c>
      <c r="J96" s="57">
        <v>3.8572340000000001</v>
      </c>
      <c r="K96" s="57">
        <v>3.6475629999999999</v>
      </c>
      <c r="L96" s="57">
        <v>3.400385</v>
      </c>
      <c r="M96" s="57">
        <v>-2.4676290000000001</v>
      </c>
      <c r="N96" s="57">
        <v>-1.988524</v>
      </c>
    </row>
    <row r="97" spans="2:14" ht="16.5" x14ac:dyDescent="0.35">
      <c r="C97" s="46" t="s">
        <v>204</v>
      </c>
      <c r="E97" s="57">
        <v>8.3926499999999997</v>
      </c>
      <c r="F97" s="57">
        <v>9.333914</v>
      </c>
      <c r="G97" s="57">
        <v>10.264138000000001</v>
      </c>
      <c r="H97" s="57">
        <v>10.173356999999999</v>
      </c>
      <c r="I97" s="57">
        <v>9.7133079999999996</v>
      </c>
      <c r="J97" s="57">
        <v>8.277037</v>
      </c>
      <c r="K97" s="57">
        <v>6.3278059999999998</v>
      </c>
      <c r="L97" s="57">
        <v>4.0983099999999997</v>
      </c>
      <c r="M97" s="57">
        <v>3.4736539999999998</v>
      </c>
      <c r="N97" s="57">
        <v>6.9534130000000003</v>
      </c>
    </row>
    <row r="98" spans="2:14" ht="16.5" x14ac:dyDescent="0.35">
      <c r="C98" s="46" t="s">
        <v>205</v>
      </c>
      <c r="E98" s="57">
        <v>14.500215000000001</v>
      </c>
      <c r="F98" s="57">
        <v>14.13875</v>
      </c>
      <c r="G98" s="57">
        <v>15.056559999999999</v>
      </c>
      <c r="H98" s="57">
        <v>14.348082</v>
      </c>
      <c r="I98" s="57">
        <v>13.705871999999999</v>
      </c>
      <c r="J98" s="57">
        <v>12.773156</v>
      </c>
      <c r="K98" s="57">
        <v>11.138316</v>
      </c>
      <c r="L98" s="57">
        <v>8.2777550000000009</v>
      </c>
      <c r="M98" s="57">
        <v>7.7255070000000003</v>
      </c>
      <c r="N98" s="57">
        <v>12.765867</v>
      </c>
    </row>
    <row r="99" spans="2:14" ht="16.5" x14ac:dyDescent="0.35">
      <c r="C99" s="46" t="s">
        <v>206</v>
      </c>
      <c r="E99" s="57">
        <v>14.500215000000001</v>
      </c>
      <c r="F99" s="57">
        <v>14.13875</v>
      </c>
      <c r="G99" s="57">
        <v>15.056559999999999</v>
      </c>
      <c r="H99" s="57">
        <v>14.348082</v>
      </c>
      <c r="I99" s="57">
        <v>13.705871999999999</v>
      </c>
      <c r="J99" s="57">
        <v>12.773156</v>
      </c>
      <c r="K99" s="57">
        <v>12.014343999999999</v>
      </c>
      <c r="L99" s="57">
        <v>7.5786720000000001</v>
      </c>
      <c r="M99" s="57">
        <v>7.7255070000000003</v>
      </c>
      <c r="N99" s="57">
        <v>12.765867</v>
      </c>
    </row>
    <row r="100" spans="2:14" ht="16.5" x14ac:dyDescent="0.35">
      <c r="C100" s="46" t="s">
        <v>207</v>
      </c>
      <c r="E100" s="57">
        <v>12.504624</v>
      </c>
      <c r="F100" s="57">
        <v>13.905824000000001</v>
      </c>
      <c r="G100" s="57">
        <v>14.884319</v>
      </c>
      <c r="H100" s="57">
        <v>14.253211</v>
      </c>
      <c r="I100" s="57">
        <v>13.621608</v>
      </c>
      <c r="J100" s="57">
        <v>11.631382</v>
      </c>
      <c r="K100" s="57">
        <v>8.6834240000000005</v>
      </c>
      <c r="L100" s="57">
        <v>5.6296799999999996</v>
      </c>
      <c r="M100" s="57">
        <v>4.9206139999999996</v>
      </c>
      <c r="N100" s="57">
        <v>10.061472999999999</v>
      </c>
    </row>
    <row r="101" spans="2:14" ht="16.5" x14ac:dyDescent="0.35">
      <c r="C101" s="46" t="s">
        <v>208</v>
      </c>
      <c r="E101" s="57">
        <v>12.513883999999999</v>
      </c>
      <c r="F101" s="57">
        <v>13.914849</v>
      </c>
      <c r="G101" s="57">
        <v>14.89006</v>
      </c>
      <c r="H101" s="57">
        <v>14.256921</v>
      </c>
      <c r="I101" s="57">
        <v>13.624554</v>
      </c>
      <c r="J101" s="57">
        <v>11.633111</v>
      </c>
      <c r="K101" s="57">
        <v>8.6846499999999995</v>
      </c>
      <c r="L101" s="57">
        <v>5.6305100000000001</v>
      </c>
      <c r="M101" s="57">
        <v>4.9473560000000001</v>
      </c>
      <c r="N101" s="57">
        <v>10.130723</v>
      </c>
    </row>
    <row r="102" spans="2:14" ht="16.5" x14ac:dyDescent="0.35">
      <c r="C102" s="46" t="s">
        <v>209</v>
      </c>
      <c r="E102" s="57">
        <v>27.545354</v>
      </c>
      <c r="F102" s="57">
        <v>29.309449999999998</v>
      </c>
      <c r="G102" s="57">
        <v>27.979941</v>
      </c>
      <c r="H102" s="57">
        <v>26.107502</v>
      </c>
      <c r="I102" s="57">
        <v>26.91459</v>
      </c>
      <c r="J102" s="57">
        <v>25.630147000000001</v>
      </c>
      <c r="K102" s="57">
        <v>20.676618999999999</v>
      </c>
      <c r="L102" s="57">
        <v>22.541408000000001</v>
      </c>
      <c r="M102" s="57">
        <v>14.072603000000001</v>
      </c>
      <c r="N102" s="57">
        <v>22.097715000000001</v>
      </c>
    </row>
    <row r="104" spans="2:14" x14ac:dyDescent="0.25">
      <c r="B104" s="3" t="s">
        <v>211</v>
      </c>
      <c r="E104" s="3">
        <v>2016</v>
      </c>
      <c r="F104" s="3">
        <f>E104-1</f>
        <v>2015</v>
      </c>
      <c r="G104" s="3">
        <f t="shared" ref="G104:N104" si="17">F104-1</f>
        <v>2014</v>
      </c>
      <c r="H104" s="3">
        <f t="shared" si="17"/>
        <v>2013</v>
      </c>
      <c r="I104" s="3">
        <f t="shared" si="17"/>
        <v>2012</v>
      </c>
      <c r="J104" s="3">
        <f t="shared" si="17"/>
        <v>2011</v>
      </c>
      <c r="K104" s="3">
        <f t="shared" si="17"/>
        <v>2010</v>
      </c>
      <c r="L104" s="3">
        <f t="shared" si="17"/>
        <v>2009</v>
      </c>
      <c r="M104" s="3">
        <f t="shared" si="17"/>
        <v>2008</v>
      </c>
      <c r="N104" s="3">
        <f t="shared" si="17"/>
        <v>2007</v>
      </c>
    </row>
    <row r="105" spans="2:14" ht="16.5" x14ac:dyDescent="0.35">
      <c r="C105" s="46" t="s">
        <v>212</v>
      </c>
      <c r="E105" s="57">
        <v>0.59292699999999998</v>
      </c>
      <c r="F105" s="57">
        <v>0.72914900000000005</v>
      </c>
      <c r="G105" s="57">
        <v>0.98328400000000005</v>
      </c>
      <c r="H105" s="57">
        <v>1.6911499999999999</v>
      </c>
      <c r="I105" s="57">
        <v>1.5356110000000001</v>
      </c>
      <c r="J105" s="57">
        <v>1.19615</v>
      </c>
      <c r="K105" s="57">
        <v>0.70679899999999996</v>
      </c>
      <c r="L105" s="57">
        <v>0.50297599999999998</v>
      </c>
      <c r="M105" s="57">
        <v>0.36332100000000001</v>
      </c>
      <c r="N105" s="57">
        <v>1.0534779999999999</v>
      </c>
    </row>
    <row r="106" spans="2:14" ht="16.5" x14ac:dyDescent="0.35">
      <c r="C106" s="46" t="s">
        <v>213</v>
      </c>
      <c r="E106" s="57">
        <v>18.399999999999999</v>
      </c>
      <c r="F106" s="57">
        <v>21.013514000000001</v>
      </c>
      <c r="G106" s="57">
        <v>24.147435999999999</v>
      </c>
      <c r="H106" s="57">
        <v>39.680272000000002</v>
      </c>
      <c r="I106" s="57">
        <v>38.650793999999998</v>
      </c>
      <c r="J106" s="57">
        <v>35.336787999999999</v>
      </c>
      <c r="K106" s="57">
        <v>25.923076999999999</v>
      </c>
      <c r="L106" s="57">
        <v>33.847059000000002</v>
      </c>
      <c r="M106" s="57">
        <v>25.170732000000001</v>
      </c>
      <c r="N106" s="57">
        <v>37.953488</v>
      </c>
    </row>
    <row r="107" spans="2:14" ht="16.5" x14ac:dyDescent="0.35">
      <c r="C107" s="46" t="s">
        <v>214</v>
      </c>
      <c r="E107" s="57">
        <v>2.815731</v>
      </c>
      <c r="F107" s="57">
        <v>2.8789579999999999</v>
      </c>
      <c r="G107" s="57">
        <v>3.5605220000000002</v>
      </c>
      <c r="H107" s="57">
        <v>5.6013669999999998</v>
      </c>
      <c r="I107" s="57">
        <v>4.7499589999999996</v>
      </c>
      <c r="J107" s="57">
        <v>4.0784940000000001</v>
      </c>
      <c r="K107" s="57">
        <v>2.6871350000000001</v>
      </c>
      <c r="L107" s="57">
        <v>2.4838469999999999</v>
      </c>
      <c r="M107" s="57">
        <v>1.922615</v>
      </c>
      <c r="N107" s="57">
        <v>4.6731379999999998</v>
      </c>
    </row>
    <row r="108" spans="2:14" ht="16.5" x14ac:dyDescent="0.35">
      <c r="C108" s="46" t="s">
        <v>215</v>
      </c>
      <c r="E108" s="57">
        <v>3.7204570000000001</v>
      </c>
      <c r="F108" s="57">
        <v>3.6412049999999998</v>
      </c>
      <c r="G108" s="57">
        <v>4.4895069999999997</v>
      </c>
      <c r="H108" s="57">
        <v>6.931108</v>
      </c>
      <c r="I108" s="57">
        <v>5.8696099999999998</v>
      </c>
      <c r="J108" s="57">
        <v>5.3955359999999999</v>
      </c>
      <c r="K108" s="57">
        <v>3.891019</v>
      </c>
      <c r="L108" s="57">
        <v>4.5097610000000001</v>
      </c>
      <c r="M108" s="57">
        <v>3.7703530000000001</v>
      </c>
      <c r="N108" s="57">
        <v>9.8475750000000009</v>
      </c>
    </row>
    <row r="109" spans="2:14" ht="16.5" x14ac:dyDescent="0.35">
      <c r="C109" s="46" t="s">
        <v>216</v>
      </c>
      <c r="E109" s="57">
        <v>8.3541109999999996</v>
      </c>
      <c r="F109" s="57">
        <v>9.9387779999999992</v>
      </c>
      <c r="G109" s="57">
        <v>12.827881</v>
      </c>
      <c r="H109" s="57">
        <v>21.649736999999998</v>
      </c>
      <c r="I109" s="57">
        <v>19.533056999999999</v>
      </c>
      <c r="J109" s="57">
        <v>16.017099999999999</v>
      </c>
      <c r="K109" s="57">
        <v>10.875539</v>
      </c>
      <c r="L109" s="57">
        <v>6.8735179999999998</v>
      </c>
      <c r="M109" s="57">
        <v>8.8710310000000003</v>
      </c>
      <c r="N109" s="57">
        <v>17.421571</v>
      </c>
    </row>
    <row r="110" spans="2:14" ht="16.5" x14ac:dyDescent="0.35">
      <c r="C110" s="46" t="s">
        <v>217</v>
      </c>
      <c r="E110" s="57">
        <v>23.307970000000001</v>
      </c>
      <c r="F110" s="57">
        <v>40.362878000000002</v>
      </c>
      <c r="G110" s="57">
        <v>36.922578999999999</v>
      </c>
      <c r="H110" s="57">
        <v>26.935369999999999</v>
      </c>
      <c r="I110" s="57">
        <v>38.761949000000001</v>
      </c>
      <c r="J110" s="57">
        <v>31.010559000000001</v>
      </c>
      <c r="K110" s="57">
        <v>19.377305</v>
      </c>
      <c r="L110" s="57">
        <v>14.791732</v>
      </c>
      <c r="M110" s="57" t="s">
        <v>37</v>
      </c>
      <c r="N110" s="57" t="s">
        <v>37</v>
      </c>
    </row>
    <row r="111" spans="2:14" ht="16.5" x14ac:dyDescent="0.35">
      <c r="C111" s="46" t="s">
        <v>91</v>
      </c>
      <c r="E111" s="57">
        <v>1.893408</v>
      </c>
      <c r="F111" s="57">
        <v>1.672026</v>
      </c>
      <c r="G111" s="57">
        <v>1.274224</v>
      </c>
      <c r="H111" s="57">
        <v>0.68575299999999995</v>
      </c>
      <c r="I111" s="57">
        <v>0.57494900000000004</v>
      </c>
      <c r="J111" s="57">
        <v>0.58650999999999998</v>
      </c>
      <c r="K111" s="57">
        <v>0</v>
      </c>
      <c r="L111" s="57">
        <v>0</v>
      </c>
      <c r="M111" s="57">
        <v>2.9069769999999999</v>
      </c>
      <c r="N111" s="57">
        <v>1.470588</v>
      </c>
    </row>
    <row r="112" spans="2:14" ht="16.5" x14ac:dyDescent="0.35">
      <c r="C112" s="46" t="s">
        <v>218</v>
      </c>
      <c r="E112" s="57">
        <v>10.600925</v>
      </c>
      <c r="F112" s="57">
        <v>11.041382</v>
      </c>
      <c r="G112" s="57">
        <v>13.698248</v>
      </c>
      <c r="H112" s="57">
        <v>23.104358000000001</v>
      </c>
      <c r="I112" s="57">
        <v>22.213308000000001</v>
      </c>
      <c r="J112" s="57">
        <v>19.662786000000001</v>
      </c>
      <c r="K112" s="57">
        <v>14.006546</v>
      </c>
      <c r="L112" s="57">
        <v>14.306015</v>
      </c>
      <c r="M112" s="57">
        <v>13.593030000000001</v>
      </c>
      <c r="N112" s="57">
        <v>24.402397000000001</v>
      </c>
    </row>
    <row r="113" spans="3:14" ht="16.5" x14ac:dyDescent="0.35">
      <c r="C113" s="46" t="s">
        <v>219</v>
      </c>
      <c r="E113" s="57">
        <v>6.7418170000000002</v>
      </c>
      <c r="F113" s="57">
        <v>7.5741670000000001</v>
      </c>
      <c r="G113" s="57">
        <v>9.7918640000000003</v>
      </c>
      <c r="H113" s="57">
        <v>16.757211999999999</v>
      </c>
      <c r="I113" s="57">
        <v>15.722258</v>
      </c>
      <c r="J113" s="57">
        <v>12.975837</v>
      </c>
      <c r="K113" s="57">
        <v>8.7082239999999995</v>
      </c>
      <c r="L113" s="57">
        <v>8.0691760000000006</v>
      </c>
      <c r="M113" s="57">
        <v>7.103402</v>
      </c>
      <c r="N113" s="57">
        <v>15.247833</v>
      </c>
    </row>
    <row r="114" spans="3:14" ht="16.5" x14ac:dyDescent="0.35">
      <c r="C114" s="46" t="s">
        <v>220</v>
      </c>
      <c r="E114" s="57">
        <v>0.58654300000000004</v>
      </c>
      <c r="F114" s="57">
        <v>0.68806800000000001</v>
      </c>
      <c r="G114" s="57">
        <v>0.91199399999999997</v>
      </c>
      <c r="H114" s="57">
        <v>1.600867</v>
      </c>
      <c r="I114" s="57">
        <v>1.4328430000000001</v>
      </c>
      <c r="J114" s="57">
        <v>1.083785</v>
      </c>
      <c r="K114" s="57">
        <v>0.70446900000000001</v>
      </c>
      <c r="L114" s="57">
        <v>0.61460400000000004</v>
      </c>
      <c r="M114" s="57">
        <v>0.46617900000000001</v>
      </c>
      <c r="N114" s="57">
        <v>1.149273</v>
      </c>
    </row>
    <row r="115" spans="3:14" ht="16.5" x14ac:dyDescent="0.35">
      <c r="C115" s="46" t="s">
        <v>221</v>
      </c>
      <c r="E115" s="57">
        <v>0.113957</v>
      </c>
      <c r="F115" s="57">
        <v>6.1390000000000004E-3</v>
      </c>
      <c r="G115" s="57">
        <v>4.79E-3</v>
      </c>
      <c r="H115" s="57">
        <v>1.3060000000000001E-3</v>
      </c>
      <c r="I115" s="57">
        <v>1.439E-3</v>
      </c>
      <c r="J115" s="57">
        <v>1.634E-3</v>
      </c>
      <c r="K115" s="57">
        <v>8.0182000000000003E-2</v>
      </c>
      <c r="L115" s="57">
        <v>0.149756</v>
      </c>
      <c r="M115" s="57">
        <v>0.25058900000000001</v>
      </c>
      <c r="N115" s="57">
        <v>0.100435</v>
      </c>
    </row>
    <row r="117" spans="3:14" x14ac:dyDescent="0.25">
      <c r="C117" s="26" t="s">
        <v>98</v>
      </c>
      <c r="E117" s="29">
        <f>E68*E112</f>
        <v>9222.8047499999993</v>
      </c>
      <c r="F117" s="29">
        <f t="shared" ref="F117:N117" si="18">F68*F112</f>
        <v>10588.685338000001</v>
      </c>
      <c r="G117" s="29">
        <f t="shared" si="18"/>
        <v>12944.844359999999</v>
      </c>
      <c r="H117" s="29">
        <f t="shared" si="18"/>
        <v>20678.400410000002</v>
      </c>
      <c r="I117" s="29">
        <f t="shared" si="18"/>
        <v>16762.584269652016</v>
      </c>
      <c r="J117" s="29">
        <f t="shared" si="18"/>
        <v>10954.668975822044</v>
      </c>
      <c r="K117" s="29">
        <f t="shared" si="18"/>
        <v>6344.3070303379936</v>
      </c>
      <c r="L117" s="29">
        <f t="shared" si="18"/>
        <v>4936.2618637199967</v>
      </c>
      <c r="M117" s="29">
        <f t="shared" si="18"/>
        <v>3707.9475024900175</v>
      </c>
      <c r="N117" s="29">
        <f t="shared" si="18"/>
        <v>7575.7485510470233</v>
      </c>
    </row>
  </sheetData>
  <mergeCells count="8">
    <mergeCell ref="A54:N54"/>
    <mergeCell ref="A55:N55"/>
    <mergeCell ref="A56:N56"/>
    <mergeCell ref="A1:N1"/>
    <mergeCell ref="A2:N2"/>
    <mergeCell ref="A3:N3"/>
    <mergeCell ref="A4:N4"/>
    <mergeCell ref="A53:N5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tabSelected="1" topLeftCell="A56" workbookViewId="0">
      <selection activeCell="A75" sqref="A75:A108"/>
    </sheetView>
  </sheetViews>
  <sheetFormatPr defaultRowHeight="15" x14ac:dyDescent="0.25"/>
  <cols>
    <col min="1" max="1" width="35.7109375" customWidth="1"/>
    <col min="2" max="7" width="15.7109375" customWidth="1"/>
  </cols>
  <sheetData>
    <row r="1" spans="1:7" x14ac:dyDescent="0.25">
      <c r="A1" s="77" t="s">
        <v>1</v>
      </c>
      <c r="B1" s="77"/>
      <c r="C1" s="77"/>
      <c r="D1" s="77"/>
      <c r="E1" s="77"/>
      <c r="F1" s="77"/>
      <c r="G1" s="77"/>
    </row>
    <row r="2" spans="1:7" x14ac:dyDescent="0.25">
      <c r="A2" s="77" t="s">
        <v>21</v>
      </c>
      <c r="B2" s="77"/>
      <c r="C2" s="77"/>
      <c r="D2" s="77"/>
      <c r="E2" s="77"/>
      <c r="F2" s="77"/>
      <c r="G2" s="77"/>
    </row>
    <row r="3" spans="1:7" x14ac:dyDescent="0.25">
      <c r="A3" s="77" t="s">
        <v>22</v>
      </c>
      <c r="B3" s="77"/>
      <c r="C3" s="77"/>
      <c r="D3" s="77"/>
      <c r="E3" s="77"/>
      <c r="F3" s="77"/>
      <c r="G3" s="77"/>
    </row>
    <row r="4" spans="1:7" x14ac:dyDescent="0.25">
      <c r="A4" s="77" t="s">
        <v>158</v>
      </c>
      <c r="B4" s="77"/>
      <c r="C4" s="77"/>
      <c r="D4" s="77"/>
      <c r="E4" s="77"/>
      <c r="F4" s="77"/>
      <c r="G4" s="77"/>
    </row>
    <row r="5" spans="1:7" x14ac:dyDescent="0.25">
      <c r="A5" s="77" t="s">
        <v>159</v>
      </c>
      <c r="B5" s="77"/>
      <c r="C5" s="77"/>
      <c r="D5" s="77"/>
      <c r="E5" s="77"/>
      <c r="F5" s="77"/>
      <c r="G5" s="77"/>
    </row>
    <row r="6" spans="1:7" x14ac:dyDescent="0.25">
      <c r="B6" s="24"/>
      <c r="C6" s="24"/>
      <c r="D6" s="24"/>
      <c r="E6" s="24"/>
      <c r="F6" s="24"/>
      <c r="G6" s="24"/>
    </row>
    <row r="7" spans="1:7" x14ac:dyDescent="0.25">
      <c r="A7" s="9" t="s">
        <v>40</v>
      </c>
      <c r="B7" s="63"/>
      <c r="C7" s="63"/>
      <c r="D7" s="63"/>
      <c r="E7" s="63"/>
      <c r="F7" s="63"/>
      <c r="G7" s="63"/>
    </row>
    <row r="8" spans="1:7" x14ac:dyDescent="0.25">
      <c r="A8" s="8" t="s">
        <v>41</v>
      </c>
      <c r="B8" s="65">
        <v>-2.6</v>
      </c>
      <c r="C8" s="13">
        <v>-2.1230799999999999</v>
      </c>
      <c r="D8" s="13">
        <v>0.60769200000000001</v>
      </c>
      <c r="E8" s="13">
        <v>1.375</v>
      </c>
      <c r="F8" s="13">
        <v>2</v>
      </c>
      <c r="G8" s="13">
        <v>2</v>
      </c>
    </row>
    <row r="9" spans="1:7" x14ac:dyDescent="0.25">
      <c r="A9" s="8" t="s">
        <v>42</v>
      </c>
      <c r="B9" s="65">
        <v>915.05</v>
      </c>
      <c r="C9" s="13">
        <v>883.23299999999995</v>
      </c>
      <c r="D9" s="13">
        <v>869.63300000000004</v>
      </c>
      <c r="E9" s="13">
        <v>901.3</v>
      </c>
      <c r="F9" s="13">
        <v>909.3</v>
      </c>
      <c r="G9" s="13" t="s">
        <v>37</v>
      </c>
    </row>
    <row r="10" spans="1:7" x14ac:dyDescent="0.25">
      <c r="A10" s="8" t="s">
        <v>43</v>
      </c>
      <c r="B10" s="65">
        <v>12.808999999999999</v>
      </c>
      <c r="C10" s="13">
        <v>18.6023</v>
      </c>
      <c r="D10" s="13">
        <v>19.532</v>
      </c>
      <c r="E10" s="13">
        <v>20.2</v>
      </c>
      <c r="F10" s="13">
        <v>21.2</v>
      </c>
      <c r="G10" s="13" t="s">
        <v>37</v>
      </c>
    </row>
    <row r="11" spans="1:7" x14ac:dyDescent="0.25">
      <c r="A11" s="8" t="s">
        <v>44</v>
      </c>
      <c r="B11" s="61">
        <v>464</v>
      </c>
      <c r="C11" s="14">
        <v>474.5</v>
      </c>
      <c r="D11" s="14">
        <v>500.16699999999997</v>
      </c>
      <c r="E11" s="14">
        <v>522.66700000000003</v>
      </c>
      <c r="F11" s="14">
        <v>543.33299999999997</v>
      </c>
      <c r="G11" s="14">
        <v>549</v>
      </c>
    </row>
    <row r="12" spans="1:7" x14ac:dyDescent="0.25">
      <c r="A12" s="8" t="s">
        <v>45</v>
      </c>
      <c r="B12" s="61">
        <v>0</v>
      </c>
      <c r="C12" s="14">
        <v>9</v>
      </c>
      <c r="D12" s="14">
        <v>2.5</v>
      </c>
      <c r="E12" s="14">
        <v>0</v>
      </c>
      <c r="F12" s="14">
        <v>0</v>
      </c>
      <c r="G12" s="14" t="s">
        <v>37</v>
      </c>
    </row>
    <row r="13" spans="1:7" x14ac:dyDescent="0.25">
      <c r="A13" s="8" t="s">
        <v>46</v>
      </c>
      <c r="B13" s="61">
        <v>28</v>
      </c>
      <c r="C13" s="14">
        <v>27.4</v>
      </c>
      <c r="D13" s="14">
        <v>24.8</v>
      </c>
      <c r="E13" s="14">
        <v>30</v>
      </c>
      <c r="F13" s="14">
        <v>30</v>
      </c>
      <c r="G13" s="14" t="s">
        <v>37</v>
      </c>
    </row>
    <row r="14" spans="1:7" x14ac:dyDescent="0.25">
      <c r="A14" s="8" t="s">
        <v>47</v>
      </c>
      <c r="B14" s="61">
        <v>3</v>
      </c>
      <c r="C14" s="14">
        <v>4</v>
      </c>
      <c r="D14" s="14">
        <v>0</v>
      </c>
      <c r="E14" s="14" t="s">
        <v>37</v>
      </c>
      <c r="F14" s="14" t="s">
        <v>37</v>
      </c>
      <c r="G14" s="14" t="s">
        <v>37</v>
      </c>
    </row>
    <row r="15" spans="1:7" x14ac:dyDescent="0.25">
      <c r="A15" s="8" t="s">
        <v>48</v>
      </c>
      <c r="B15" s="65">
        <v>-2.5</v>
      </c>
      <c r="C15" s="13">
        <v>-2.25</v>
      </c>
      <c r="D15" s="13">
        <v>0.3</v>
      </c>
      <c r="E15" s="13">
        <v>2.7</v>
      </c>
      <c r="F15" s="13" t="s">
        <v>37</v>
      </c>
      <c r="G15" s="13" t="s">
        <v>37</v>
      </c>
    </row>
    <row r="16" spans="1:7" x14ac:dyDescent="0.25">
      <c r="B16" s="24"/>
      <c r="C16" s="24"/>
      <c r="D16" s="24"/>
      <c r="E16" s="24"/>
      <c r="F16" s="24"/>
      <c r="G16" s="24"/>
    </row>
    <row r="17" spans="1:8" x14ac:dyDescent="0.25">
      <c r="A17" s="9" t="s">
        <v>160</v>
      </c>
      <c r="B17" s="62">
        <v>2016</v>
      </c>
      <c r="C17" s="62">
        <f>B17+1</f>
        <v>2017</v>
      </c>
      <c r="D17" s="62">
        <f t="shared" ref="D17:G17" si="0">C17+1</f>
        <v>2018</v>
      </c>
      <c r="E17" s="62">
        <f t="shared" si="0"/>
        <v>2019</v>
      </c>
      <c r="F17" s="62">
        <f t="shared" si="0"/>
        <v>2020</v>
      </c>
      <c r="G17" s="62">
        <f t="shared" si="0"/>
        <v>2021</v>
      </c>
    </row>
    <row r="18" spans="1:8" x14ac:dyDescent="0.25">
      <c r="A18" s="8" t="s">
        <v>12</v>
      </c>
      <c r="B18" s="61">
        <v>15724</v>
      </c>
      <c r="C18" s="61">
        <v>15938.4</v>
      </c>
      <c r="D18" s="61">
        <v>16526.099999999999</v>
      </c>
      <c r="E18" s="61">
        <v>17061.599999999999</v>
      </c>
      <c r="F18" s="61">
        <v>18001.8</v>
      </c>
      <c r="G18" s="61">
        <v>18148</v>
      </c>
      <c r="H18" s="14" t="s">
        <v>37</v>
      </c>
    </row>
    <row r="19" spans="1:8" x14ac:dyDescent="0.25">
      <c r="A19" s="8" t="s">
        <v>49</v>
      </c>
      <c r="B19" s="61">
        <v>10314</v>
      </c>
      <c r="C19" s="61">
        <v>10530.9</v>
      </c>
      <c r="D19" s="61">
        <v>11013</v>
      </c>
      <c r="E19" s="61">
        <v>11470.5</v>
      </c>
      <c r="F19" s="61">
        <v>12078.8</v>
      </c>
      <c r="G19" s="61">
        <v>12163</v>
      </c>
      <c r="H19" s="14" t="s">
        <v>37</v>
      </c>
    </row>
    <row r="20" spans="1:8" x14ac:dyDescent="0.25">
      <c r="A20" s="8" t="s">
        <v>50</v>
      </c>
      <c r="B20" s="61">
        <v>5411</v>
      </c>
      <c r="C20" s="61">
        <v>5402.66</v>
      </c>
      <c r="D20" s="61">
        <v>5557.36</v>
      </c>
      <c r="E20" s="61">
        <v>5741.6</v>
      </c>
      <c r="F20" s="61">
        <v>5986</v>
      </c>
      <c r="G20" s="61">
        <v>5985</v>
      </c>
      <c r="H20" s="14" t="s">
        <v>37</v>
      </c>
    </row>
    <row r="21" spans="1:8" x14ac:dyDescent="0.25">
      <c r="A21" s="8" t="s">
        <v>52</v>
      </c>
      <c r="B21" s="61">
        <v>1355</v>
      </c>
      <c r="C21" s="61">
        <v>1297.95</v>
      </c>
      <c r="D21" s="61">
        <v>1330.32</v>
      </c>
      <c r="E21" s="61">
        <v>1283.79</v>
      </c>
      <c r="F21" s="61">
        <v>1508.63</v>
      </c>
      <c r="G21" s="61">
        <v>1464</v>
      </c>
      <c r="H21" s="14" t="s">
        <v>37</v>
      </c>
    </row>
    <row r="22" spans="1:8" x14ac:dyDescent="0.25">
      <c r="A22" s="8" t="s">
        <v>188</v>
      </c>
      <c r="B22" s="61">
        <f>B21-B23</f>
        <v>498</v>
      </c>
      <c r="C22" s="61">
        <f t="shared" ref="C22:G22" si="1">C21-C23</f>
        <v>562.25400000000002</v>
      </c>
      <c r="D22" s="61">
        <f t="shared" si="1"/>
        <v>603.30599999999993</v>
      </c>
      <c r="E22" s="61">
        <f t="shared" si="1"/>
        <v>548.75599999999997</v>
      </c>
      <c r="F22" s="61">
        <f t="shared" si="1"/>
        <v>684.76300000000015</v>
      </c>
      <c r="G22" s="61">
        <f t="shared" si="1"/>
        <v>688</v>
      </c>
      <c r="H22" s="14"/>
    </row>
    <row r="23" spans="1:8" x14ac:dyDescent="0.25">
      <c r="A23" s="8" t="s">
        <v>53</v>
      </c>
      <c r="B23" s="61">
        <v>857</v>
      </c>
      <c r="C23" s="61">
        <v>735.69600000000003</v>
      </c>
      <c r="D23" s="61">
        <v>727.01400000000001</v>
      </c>
      <c r="E23" s="61">
        <v>735.03399999999999</v>
      </c>
      <c r="F23" s="61">
        <v>823.86699999999996</v>
      </c>
      <c r="G23" s="61">
        <v>776</v>
      </c>
      <c r="H23" s="14" t="s">
        <v>37</v>
      </c>
    </row>
    <row r="24" spans="1:8" x14ac:dyDescent="0.25">
      <c r="A24" s="8" t="s">
        <v>54</v>
      </c>
      <c r="B24" s="61">
        <f>B23-B25</f>
        <v>30</v>
      </c>
      <c r="C24" s="61">
        <f t="shared" ref="C24:G24" si="2">C23-C25</f>
        <v>45.61200000000008</v>
      </c>
      <c r="D24" s="61">
        <f t="shared" si="2"/>
        <v>44.639999999999986</v>
      </c>
      <c r="E24" s="61">
        <f t="shared" si="2"/>
        <v>53.125</v>
      </c>
      <c r="F24" s="61">
        <f t="shared" si="2"/>
        <v>61.016999999999939</v>
      </c>
      <c r="G24" s="61">
        <f t="shared" si="2"/>
        <v>96</v>
      </c>
      <c r="H24" s="14"/>
    </row>
    <row r="25" spans="1:8" x14ac:dyDescent="0.25">
      <c r="A25" s="8" t="s">
        <v>55</v>
      </c>
      <c r="B25" s="61">
        <v>827</v>
      </c>
      <c r="C25" s="61">
        <v>690.08399999999995</v>
      </c>
      <c r="D25" s="61">
        <v>682.37400000000002</v>
      </c>
      <c r="E25" s="61">
        <v>681.90899999999999</v>
      </c>
      <c r="F25" s="61">
        <v>762.85</v>
      </c>
      <c r="G25" s="61">
        <v>680</v>
      </c>
      <c r="H25" s="14" t="s">
        <v>37</v>
      </c>
    </row>
    <row r="26" spans="1:8" x14ac:dyDescent="0.25">
      <c r="A26" s="8" t="s">
        <v>56</v>
      </c>
      <c r="B26" s="61">
        <v>320</v>
      </c>
      <c r="C26" s="61">
        <v>267.03800000000001</v>
      </c>
      <c r="D26" s="61">
        <v>268.75400000000002</v>
      </c>
      <c r="E26" s="61">
        <v>283.89999999999998</v>
      </c>
      <c r="F26" s="61">
        <v>299.66699999999997</v>
      </c>
      <c r="G26" s="61">
        <v>265</v>
      </c>
      <c r="H26" s="14" t="s">
        <v>37</v>
      </c>
    </row>
    <row r="27" spans="1:8" x14ac:dyDescent="0.25">
      <c r="A27" s="8" t="s">
        <v>57</v>
      </c>
      <c r="B27" s="61">
        <v>507</v>
      </c>
      <c r="C27" s="61">
        <v>420.09699999999998</v>
      </c>
      <c r="D27" s="61">
        <v>415.69</v>
      </c>
      <c r="E27" s="61">
        <v>418.82299999999998</v>
      </c>
      <c r="F27" s="61">
        <v>468.733</v>
      </c>
      <c r="G27" s="61">
        <v>415</v>
      </c>
      <c r="H27" s="14" t="s">
        <v>37</v>
      </c>
    </row>
    <row r="28" spans="1:8" x14ac:dyDescent="0.25">
      <c r="A28" s="8"/>
      <c r="B28" s="61"/>
      <c r="C28" s="14"/>
      <c r="D28" s="14"/>
      <c r="E28" s="14"/>
      <c r="F28" s="14"/>
      <c r="G28" s="14"/>
      <c r="H28" s="14"/>
    </row>
    <row r="29" spans="1:8" x14ac:dyDescent="0.25">
      <c r="A29" s="9" t="s">
        <v>161</v>
      </c>
      <c r="B29" s="62">
        <v>2016</v>
      </c>
      <c r="C29" s="62">
        <f>B29+1</f>
        <v>2017</v>
      </c>
      <c r="D29" s="62">
        <f t="shared" ref="D29:G29" si="3">C29+1</f>
        <v>2018</v>
      </c>
      <c r="E29" s="62">
        <f t="shared" si="3"/>
        <v>2019</v>
      </c>
      <c r="F29" s="62">
        <f t="shared" si="3"/>
        <v>2020</v>
      </c>
      <c r="G29" s="62">
        <f t="shared" si="3"/>
        <v>2021</v>
      </c>
      <c r="H29" s="14"/>
    </row>
    <row r="30" spans="1:8" x14ac:dyDescent="0.25">
      <c r="A30" s="8" t="s">
        <v>58</v>
      </c>
      <c r="B30" s="61">
        <v>1975</v>
      </c>
      <c r="C30" s="61">
        <v>2166.17</v>
      </c>
      <c r="D30" s="61">
        <v>2393.4</v>
      </c>
      <c r="E30" s="61">
        <v>2129.5</v>
      </c>
      <c r="F30" s="61">
        <v>2592</v>
      </c>
      <c r="G30" s="61">
        <v>2442</v>
      </c>
      <c r="H30" s="14"/>
    </row>
    <row r="31" spans="1:8" x14ac:dyDescent="0.25">
      <c r="A31" s="8" t="s">
        <v>60</v>
      </c>
      <c r="B31" s="61">
        <v>1341</v>
      </c>
      <c r="C31" s="61">
        <v>1359.9</v>
      </c>
      <c r="D31" s="61">
        <v>1439.9</v>
      </c>
      <c r="E31" s="61">
        <v>1426.27</v>
      </c>
      <c r="F31" s="61">
        <v>1520.2</v>
      </c>
      <c r="G31" s="61">
        <v>1572</v>
      </c>
      <c r="H31" s="14"/>
    </row>
    <row r="32" spans="1:8" x14ac:dyDescent="0.25">
      <c r="A32" s="8" t="s">
        <v>189</v>
      </c>
      <c r="B32" s="61">
        <f>B33-B30</f>
        <v>4366</v>
      </c>
      <c r="C32" s="61">
        <f t="shared" ref="C32:G32" si="4">C33-C30</f>
        <v>4473.25</v>
      </c>
      <c r="D32" s="61">
        <f t="shared" si="4"/>
        <v>4622.9799999999996</v>
      </c>
      <c r="E32" s="61">
        <f t="shared" si="4"/>
        <v>4733.07</v>
      </c>
      <c r="F32" s="61">
        <f t="shared" si="4"/>
        <v>4704.8</v>
      </c>
      <c r="G32" s="61">
        <f t="shared" si="4"/>
        <v>4640</v>
      </c>
      <c r="H32" s="14"/>
    </row>
    <row r="33" spans="1:8" x14ac:dyDescent="0.25">
      <c r="A33" s="8" t="s">
        <v>62</v>
      </c>
      <c r="B33" s="61">
        <v>6341</v>
      </c>
      <c r="C33" s="61">
        <v>6639.42</v>
      </c>
      <c r="D33" s="61">
        <v>7016.38</v>
      </c>
      <c r="E33" s="61">
        <v>6862.57</v>
      </c>
      <c r="F33" s="61">
        <v>7296.8</v>
      </c>
      <c r="G33" s="61">
        <v>7082</v>
      </c>
      <c r="H33" s="14"/>
    </row>
    <row r="34" spans="1:8" x14ac:dyDescent="0.25">
      <c r="A34" s="8" t="s">
        <v>63</v>
      </c>
      <c r="B34" s="61">
        <v>1691</v>
      </c>
      <c r="C34" s="61">
        <v>1506</v>
      </c>
      <c r="D34" s="61">
        <v>1166.3699999999999</v>
      </c>
      <c r="E34" s="61">
        <v>1413.5</v>
      </c>
      <c r="F34" s="61">
        <v>1413.5</v>
      </c>
      <c r="G34" s="61" t="s">
        <v>37</v>
      </c>
      <c r="H34" s="14"/>
    </row>
    <row r="35" spans="1:8" x14ac:dyDescent="0.25">
      <c r="A35" s="8" t="s">
        <v>135</v>
      </c>
      <c r="B35" s="61">
        <v>74</v>
      </c>
      <c r="C35" s="61">
        <v>72.666700000000006</v>
      </c>
      <c r="D35" s="61">
        <v>73</v>
      </c>
      <c r="E35" s="61">
        <v>72</v>
      </c>
      <c r="F35" s="61">
        <v>72</v>
      </c>
      <c r="G35" s="61">
        <v>72</v>
      </c>
      <c r="H35" s="14"/>
    </row>
    <row r="36" spans="1:8" x14ac:dyDescent="0.25">
      <c r="A36" s="8" t="s">
        <v>64</v>
      </c>
      <c r="B36" s="61">
        <v>710</v>
      </c>
      <c r="C36" s="61">
        <v>710</v>
      </c>
      <c r="D36" s="61">
        <v>710</v>
      </c>
      <c r="E36" s="61">
        <v>1042.3699999999999</v>
      </c>
      <c r="F36" s="61">
        <v>1222.45</v>
      </c>
      <c r="G36" s="61">
        <v>710</v>
      </c>
      <c r="H36" s="14"/>
    </row>
    <row r="37" spans="1:8" x14ac:dyDescent="0.25">
      <c r="A37" s="8" t="s">
        <v>65</v>
      </c>
      <c r="B37" s="61">
        <v>321</v>
      </c>
      <c r="C37" s="61">
        <v>459.233</v>
      </c>
      <c r="D37" s="61">
        <v>363.55700000000002</v>
      </c>
      <c r="E37" s="61">
        <v>505.78800000000001</v>
      </c>
      <c r="F37" s="61" t="s">
        <v>37</v>
      </c>
      <c r="G37" s="61" t="s">
        <v>37</v>
      </c>
      <c r="H37" s="14"/>
    </row>
    <row r="38" spans="1:8" x14ac:dyDescent="0.25">
      <c r="A38" s="8" t="s">
        <v>66</v>
      </c>
      <c r="B38" s="61">
        <v>3224</v>
      </c>
      <c r="C38" s="61">
        <v>3452.77</v>
      </c>
      <c r="D38" s="61">
        <v>3728.9</v>
      </c>
      <c r="E38" s="61">
        <v>3628.86</v>
      </c>
      <c r="F38" s="61">
        <v>3933.9</v>
      </c>
      <c r="G38" s="61" t="s">
        <v>37</v>
      </c>
      <c r="H38" s="14"/>
    </row>
    <row r="39" spans="1:8" x14ac:dyDescent="0.25">
      <c r="A39" s="8"/>
      <c r="B39" s="61"/>
      <c r="C39" s="61"/>
      <c r="D39" s="61"/>
      <c r="E39" s="61"/>
      <c r="F39" s="61"/>
      <c r="G39" s="61"/>
      <c r="H39" s="14"/>
    </row>
    <row r="40" spans="1:8" x14ac:dyDescent="0.25">
      <c r="A40" s="9" t="s">
        <v>195</v>
      </c>
      <c r="B40" s="61">
        <f>B34+B38</f>
        <v>4915</v>
      </c>
      <c r="C40" s="61">
        <f t="shared" ref="C40:F40" si="5">C34+C38</f>
        <v>4958.7700000000004</v>
      </c>
      <c r="D40" s="61">
        <f t="shared" si="5"/>
        <v>4895.2700000000004</v>
      </c>
      <c r="E40" s="61">
        <f t="shared" si="5"/>
        <v>5042.3600000000006</v>
      </c>
      <c r="F40" s="61">
        <f t="shared" si="5"/>
        <v>5347.4</v>
      </c>
      <c r="G40" s="61"/>
      <c r="H40" s="14"/>
    </row>
    <row r="41" spans="1:8" x14ac:dyDescent="0.25">
      <c r="A41" s="8"/>
      <c r="B41" s="61"/>
      <c r="C41" s="14"/>
      <c r="D41" s="14"/>
      <c r="E41" s="14"/>
      <c r="F41" s="14"/>
      <c r="G41" s="14"/>
      <c r="H41" s="14"/>
    </row>
    <row r="42" spans="1:8" x14ac:dyDescent="0.25">
      <c r="A42" s="9" t="s">
        <v>162</v>
      </c>
      <c r="B42" s="62">
        <v>2016</v>
      </c>
      <c r="C42" s="62">
        <f>B42+1</f>
        <v>2017</v>
      </c>
      <c r="D42" s="62">
        <f t="shared" ref="D42:G42" si="6">C42+1</f>
        <v>2018</v>
      </c>
      <c r="E42" s="62">
        <f t="shared" si="6"/>
        <v>2019</v>
      </c>
      <c r="F42" s="62">
        <f t="shared" si="6"/>
        <v>2020</v>
      </c>
      <c r="G42" s="62">
        <f t="shared" si="6"/>
        <v>2021</v>
      </c>
      <c r="H42" s="14"/>
    </row>
    <row r="43" spans="1:8" x14ac:dyDescent="0.25">
      <c r="A43" s="8" t="s">
        <v>67</v>
      </c>
      <c r="B43" s="61">
        <v>716</v>
      </c>
      <c r="C43" s="14">
        <v>681.63699999999994</v>
      </c>
      <c r="D43" s="14">
        <v>652.40200000000004</v>
      </c>
      <c r="E43" s="14">
        <v>640.70699999999999</v>
      </c>
      <c r="F43" s="14">
        <v>707.5</v>
      </c>
      <c r="G43" s="14">
        <v>726</v>
      </c>
      <c r="H43" s="14"/>
    </row>
    <row r="44" spans="1:8" x14ac:dyDescent="0.25">
      <c r="A44" s="8" t="s">
        <v>68</v>
      </c>
      <c r="B44" s="61">
        <v>400</v>
      </c>
      <c r="C44" s="14">
        <v>405.46</v>
      </c>
      <c r="D44" s="14">
        <v>414.92500000000001</v>
      </c>
      <c r="E44" s="14">
        <v>488.2</v>
      </c>
      <c r="F44" s="14">
        <v>520.29999999999995</v>
      </c>
      <c r="G44" s="14" t="s">
        <v>37</v>
      </c>
      <c r="H44" s="14"/>
    </row>
    <row r="45" spans="1:8" x14ac:dyDescent="0.25">
      <c r="A45" s="8" t="s">
        <v>69</v>
      </c>
      <c r="B45" s="61">
        <v>1116</v>
      </c>
      <c r="C45" s="14">
        <v>1094.1600000000001</v>
      </c>
      <c r="D45" s="14">
        <v>1110.8800000000001</v>
      </c>
      <c r="E45" s="14">
        <v>1147.5</v>
      </c>
      <c r="F45" s="14">
        <v>1232</v>
      </c>
      <c r="G45" s="14">
        <v>1265</v>
      </c>
      <c r="H45" s="14"/>
    </row>
    <row r="46" spans="1:8" x14ac:dyDescent="0.25">
      <c r="A46" s="8" t="s">
        <v>70</v>
      </c>
      <c r="B46" s="61">
        <v>-895</v>
      </c>
      <c r="C46" s="14">
        <v>-703.6</v>
      </c>
      <c r="D46" s="14">
        <v>-787.5</v>
      </c>
      <c r="E46" s="14">
        <v>-686</v>
      </c>
      <c r="F46" s="14">
        <v>-700</v>
      </c>
      <c r="G46" s="14">
        <v>-726</v>
      </c>
      <c r="H46" s="14"/>
    </row>
    <row r="47" spans="1:8" x14ac:dyDescent="0.25">
      <c r="A47" s="8" t="s">
        <v>71</v>
      </c>
      <c r="B47" s="61">
        <v>-113</v>
      </c>
      <c r="C47" s="14">
        <v>-235.52</v>
      </c>
      <c r="D47" s="14">
        <v>-190.25</v>
      </c>
      <c r="E47" s="14">
        <v>-582</v>
      </c>
      <c r="F47" s="14">
        <v>-213</v>
      </c>
      <c r="G47" s="14">
        <v>-722</v>
      </c>
      <c r="H47" s="14"/>
    </row>
    <row r="48" spans="1:8" x14ac:dyDescent="0.25">
      <c r="A48" s="8" t="s">
        <v>72</v>
      </c>
      <c r="B48" s="14">
        <v>731.91600000000005</v>
      </c>
      <c r="C48" s="14">
        <v>100</v>
      </c>
      <c r="D48" s="14">
        <v>125.205</v>
      </c>
      <c r="E48" s="14">
        <v>199.86199999999999</v>
      </c>
      <c r="F48" s="14" t="s">
        <v>37</v>
      </c>
      <c r="G48" s="14" t="s">
        <v>37</v>
      </c>
      <c r="H48" s="14"/>
    </row>
    <row r="49" spans="1:8" x14ac:dyDescent="0.25">
      <c r="A49" s="8"/>
      <c r="B49" s="61"/>
      <c r="C49" s="14"/>
      <c r="D49" s="14"/>
      <c r="E49" s="14"/>
      <c r="F49" s="14"/>
      <c r="G49" s="14"/>
      <c r="H49" s="14"/>
    </row>
    <row r="50" spans="1:8" x14ac:dyDescent="0.25">
      <c r="A50" s="9" t="s">
        <v>23</v>
      </c>
      <c r="B50" s="62">
        <v>2016</v>
      </c>
      <c r="C50" s="62">
        <f>B50+1</f>
        <v>2017</v>
      </c>
      <c r="D50" s="62">
        <f t="shared" ref="D50:G50" si="7">C50+1</f>
        <v>2018</v>
      </c>
      <c r="E50" s="62">
        <f t="shared" si="7"/>
        <v>2019</v>
      </c>
      <c r="F50" s="62">
        <f t="shared" si="7"/>
        <v>2020</v>
      </c>
      <c r="G50" s="62">
        <f t="shared" si="7"/>
        <v>2021</v>
      </c>
      <c r="H50" s="14"/>
    </row>
    <row r="51" spans="1:8" x14ac:dyDescent="0.25">
      <c r="A51" s="8" t="s">
        <v>36</v>
      </c>
      <c r="B51" s="64">
        <v>1.55</v>
      </c>
      <c r="C51" s="12">
        <v>1.3245</v>
      </c>
      <c r="D51" s="12">
        <v>1.34087</v>
      </c>
      <c r="E51" s="12">
        <v>1.38914</v>
      </c>
      <c r="F51" s="12">
        <v>1.5433300000000001</v>
      </c>
      <c r="G51" s="12">
        <v>1.5</v>
      </c>
      <c r="H51" s="14"/>
    </row>
    <row r="52" spans="1:8" x14ac:dyDescent="0.25">
      <c r="A52" s="8" t="s">
        <v>74</v>
      </c>
      <c r="B52" s="64">
        <v>0.54</v>
      </c>
      <c r="C52" s="12">
        <v>0.56999999999999995</v>
      </c>
      <c r="D52" s="12">
        <v>0.58328000000000002</v>
      </c>
      <c r="E52" s="12">
        <v>0.61528400000000005</v>
      </c>
      <c r="F52" s="12" t="s">
        <v>37</v>
      </c>
      <c r="G52" s="12" t="s">
        <v>37</v>
      </c>
      <c r="H52" s="14"/>
    </row>
    <row r="53" spans="1:8" x14ac:dyDescent="0.25">
      <c r="A53" s="8" t="s">
        <v>76</v>
      </c>
      <c r="B53" s="64">
        <v>3.2096200000000001</v>
      </c>
      <c r="C53" s="12">
        <v>3.19808</v>
      </c>
      <c r="D53" s="12">
        <v>3.2036699999999998</v>
      </c>
      <c r="E53" s="12">
        <v>2.9245999999999999</v>
      </c>
      <c r="F53" s="12" t="s">
        <v>37</v>
      </c>
      <c r="G53" s="12" t="s">
        <v>37</v>
      </c>
      <c r="H53" s="14"/>
    </row>
    <row r="54" spans="1:8" x14ac:dyDescent="0.25">
      <c r="A54" s="8" t="s">
        <v>77</v>
      </c>
      <c r="B54" s="64">
        <v>9.89</v>
      </c>
      <c r="C54" s="12">
        <v>10.528499999999999</v>
      </c>
      <c r="D54" s="12">
        <v>11.7544</v>
      </c>
      <c r="E54" s="12">
        <v>11.4071</v>
      </c>
      <c r="F54" s="12" t="s">
        <v>37</v>
      </c>
      <c r="G54" s="12" t="s">
        <v>37</v>
      </c>
      <c r="H54" s="14"/>
    </row>
    <row r="55" spans="1:8" x14ac:dyDescent="0.25">
      <c r="A55" s="8"/>
      <c r="B55" s="61"/>
      <c r="C55" s="14"/>
      <c r="D55" s="14"/>
      <c r="E55" s="14"/>
      <c r="F55" s="14"/>
      <c r="G55" s="14"/>
      <c r="H55" s="14"/>
    </row>
    <row r="56" spans="1:8" x14ac:dyDescent="0.25">
      <c r="A56" s="9" t="s">
        <v>165</v>
      </c>
      <c r="B56" s="61"/>
      <c r="C56" s="14"/>
      <c r="D56" s="14"/>
      <c r="E56" s="14"/>
      <c r="F56" s="14"/>
      <c r="G56" s="14"/>
      <c r="H56" s="14"/>
    </row>
    <row r="57" spans="1:8" x14ac:dyDescent="0.25">
      <c r="A57" s="8" t="s">
        <v>80</v>
      </c>
      <c r="B57" s="65">
        <v>18.290299999999998</v>
      </c>
      <c r="C57" s="13">
        <v>25.330400000000001</v>
      </c>
      <c r="D57" s="13">
        <v>25.0212</v>
      </c>
      <c r="E57" s="13">
        <v>24.151599999999998</v>
      </c>
      <c r="F57" s="13">
        <v>21.738700000000001</v>
      </c>
      <c r="G57" s="13">
        <v>22.366700000000002</v>
      </c>
      <c r="H57" s="13" t="s">
        <v>37</v>
      </c>
    </row>
    <row r="58" spans="1:8" x14ac:dyDescent="0.25">
      <c r="A58" s="8" t="s">
        <v>81</v>
      </c>
      <c r="B58" s="65">
        <v>3.6580699999999999</v>
      </c>
      <c r="C58" s="13">
        <v>5.0660800000000004</v>
      </c>
      <c r="D58" s="13">
        <v>5.0042299999999997</v>
      </c>
      <c r="E58" s="13">
        <v>4.8303200000000004</v>
      </c>
      <c r="F58" s="13">
        <v>4.3477300000000003</v>
      </c>
      <c r="G58" s="13">
        <v>4.4733299999999998</v>
      </c>
      <c r="H58" s="13" t="s">
        <v>37</v>
      </c>
    </row>
    <row r="59" spans="1:8" x14ac:dyDescent="0.25">
      <c r="A59" s="8" t="s">
        <v>82</v>
      </c>
      <c r="B59" s="65">
        <v>2.86653</v>
      </c>
      <c r="C59" s="13">
        <v>3.1865999999999999</v>
      </c>
      <c r="D59" s="13">
        <v>2.85425</v>
      </c>
      <c r="E59" s="13">
        <v>2.94116</v>
      </c>
      <c r="F59" s="13" t="s">
        <v>37</v>
      </c>
      <c r="G59" s="13" t="s">
        <v>37</v>
      </c>
      <c r="H59" s="13" t="s">
        <v>37</v>
      </c>
    </row>
    <row r="60" spans="1:8" x14ac:dyDescent="0.25">
      <c r="A60" s="8" t="s">
        <v>83</v>
      </c>
      <c r="B60" s="65" t="s">
        <v>37</v>
      </c>
      <c r="C60" s="13" t="s">
        <v>37</v>
      </c>
      <c r="D60" s="13" t="s">
        <v>37</v>
      </c>
      <c r="E60" s="13" t="s">
        <v>37</v>
      </c>
      <c r="F60" s="13" t="s">
        <v>37</v>
      </c>
      <c r="G60" s="13" t="s">
        <v>37</v>
      </c>
      <c r="H60" s="13" t="s">
        <v>37</v>
      </c>
    </row>
    <row r="61" spans="1:8" x14ac:dyDescent="0.25">
      <c r="A61" s="8" t="s">
        <v>84</v>
      </c>
      <c r="B61" s="65">
        <v>8.8328199999999999</v>
      </c>
      <c r="C61" s="13">
        <v>10.4907</v>
      </c>
      <c r="D61" s="13">
        <v>10.4724</v>
      </c>
      <c r="E61" s="13">
        <v>11.4716</v>
      </c>
      <c r="F61" s="13" t="s">
        <v>37</v>
      </c>
      <c r="G61" s="13" t="s">
        <v>37</v>
      </c>
      <c r="H61" s="13" t="s">
        <v>37</v>
      </c>
    </row>
    <row r="62" spans="1:8" x14ac:dyDescent="0.25">
      <c r="A62" s="8" t="s">
        <v>85</v>
      </c>
      <c r="B62" s="65">
        <v>23.0488</v>
      </c>
      <c r="C62" s="13">
        <v>28.512699999999999</v>
      </c>
      <c r="D62" s="13">
        <v>25.513300000000001</v>
      </c>
      <c r="E62" s="13">
        <v>19.970199999999998</v>
      </c>
      <c r="F62" s="13" t="s">
        <v>37</v>
      </c>
      <c r="G62" s="13" t="s">
        <v>37</v>
      </c>
      <c r="H62" s="13" t="s">
        <v>37</v>
      </c>
    </row>
    <row r="63" spans="1:8" x14ac:dyDescent="0.25">
      <c r="A63" s="8" t="s">
        <v>86</v>
      </c>
      <c r="B63" s="65">
        <v>0.57479599999999997</v>
      </c>
      <c r="C63" s="13">
        <v>0.670574</v>
      </c>
      <c r="D63" s="13">
        <v>0.64672600000000002</v>
      </c>
      <c r="E63" s="13">
        <v>0.62642799999999998</v>
      </c>
      <c r="F63" s="13">
        <v>0.59370999999999996</v>
      </c>
      <c r="G63" s="13">
        <v>0.58892699999999998</v>
      </c>
      <c r="H63" s="13" t="s">
        <v>37</v>
      </c>
    </row>
    <row r="64" spans="1:8" x14ac:dyDescent="0.25">
      <c r="A64" s="8" t="s">
        <v>87</v>
      </c>
      <c r="B64" s="65">
        <v>0.59521100000000005</v>
      </c>
      <c r="C64" s="13">
        <v>0.69938699999999998</v>
      </c>
      <c r="D64" s="13">
        <v>0.66872500000000001</v>
      </c>
      <c r="E64" s="13">
        <v>0.65607300000000002</v>
      </c>
      <c r="F64" s="13" t="s">
        <v>37</v>
      </c>
      <c r="G64" s="13" t="s">
        <v>37</v>
      </c>
      <c r="H64" s="13" t="s">
        <v>37</v>
      </c>
    </row>
    <row r="65" spans="1:8" x14ac:dyDescent="0.25">
      <c r="A65" s="8" t="s">
        <v>88</v>
      </c>
      <c r="B65" s="65">
        <v>6.9070799999999997</v>
      </c>
      <c r="C65" s="13">
        <v>8.5882199999999997</v>
      </c>
      <c r="D65" s="13">
        <v>8.3073499999999996</v>
      </c>
      <c r="E65" s="13">
        <v>8.7192399999999992</v>
      </c>
      <c r="F65" s="13" t="s">
        <v>37</v>
      </c>
      <c r="G65" s="13" t="s">
        <v>37</v>
      </c>
      <c r="H65" s="13" t="s">
        <v>37</v>
      </c>
    </row>
    <row r="66" spans="1:8" x14ac:dyDescent="0.25">
      <c r="A66" s="8" t="s">
        <v>89</v>
      </c>
      <c r="B66" s="65">
        <v>10.9208</v>
      </c>
      <c r="C66" s="13">
        <v>15.1518</v>
      </c>
      <c r="D66" s="13">
        <v>15.2011</v>
      </c>
      <c r="E66" s="13">
        <v>15.2287</v>
      </c>
      <c r="F66" s="13" t="s">
        <v>37</v>
      </c>
      <c r="G66" s="13" t="s">
        <v>37</v>
      </c>
      <c r="H66" s="13" t="s">
        <v>37</v>
      </c>
    </row>
    <row r="67" spans="1:8" x14ac:dyDescent="0.25">
      <c r="A67" s="8" t="s">
        <v>90</v>
      </c>
      <c r="B67" s="65">
        <v>23.3977</v>
      </c>
      <c r="C67" s="13">
        <v>27.4925</v>
      </c>
      <c r="D67" s="13">
        <v>26.634699999999999</v>
      </c>
      <c r="E67" s="13">
        <v>22.9284</v>
      </c>
      <c r="F67" s="13" t="s">
        <v>37</v>
      </c>
      <c r="G67" s="13" t="s">
        <v>37</v>
      </c>
      <c r="H67" s="13" t="s">
        <v>37</v>
      </c>
    </row>
    <row r="68" spans="1:8" x14ac:dyDescent="0.25">
      <c r="A68" s="8" t="s">
        <v>91</v>
      </c>
      <c r="B68" s="65">
        <v>1.90476</v>
      </c>
      <c r="C68" s="13">
        <v>1.69896</v>
      </c>
      <c r="D68" s="13">
        <v>1.73854</v>
      </c>
      <c r="E68" s="13">
        <v>1.8339300000000001</v>
      </c>
      <c r="F68" s="13" t="s">
        <v>37</v>
      </c>
      <c r="G68" s="13" t="s">
        <v>37</v>
      </c>
      <c r="H68" s="13" t="s">
        <v>37</v>
      </c>
    </row>
    <row r="69" spans="1:8" x14ac:dyDescent="0.25">
      <c r="A69" s="8" t="s">
        <v>92</v>
      </c>
      <c r="B69" s="65">
        <v>49.321800000000003</v>
      </c>
      <c r="C69" s="13">
        <v>50.031799999999997</v>
      </c>
      <c r="D69" s="13">
        <v>51.8767</v>
      </c>
      <c r="E69" s="13">
        <v>53.557600000000001</v>
      </c>
      <c r="F69" s="13">
        <v>56.509</v>
      </c>
      <c r="G69" s="13">
        <v>56.968000000000004</v>
      </c>
      <c r="H69" s="13" t="s">
        <v>37</v>
      </c>
    </row>
    <row r="70" spans="1:8" x14ac:dyDescent="0.25">
      <c r="A70" s="8" t="s">
        <v>163</v>
      </c>
      <c r="B70" s="65">
        <v>7.9955800000000004</v>
      </c>
      <c r="C70" s="13">
        <v>6.3273099999999998</v>
      </c>
      <c r="D70" s="13">
        <v>5.9245700000000001</v>
      </c>
      <c r="E70" s="13">
        <v>6.1029999999999998</v>
      </c>
      <c r="F70" s="13">
        <v>6.4238200000000001</v>
      </c>
      <c r="G70" s="13">
        <v>5.8599300000000003</v>
      </c>
      <c r="H70" s="13" t="s">
        <v>37</v>
      </c>
    </row>
    <row r="71" spans="1:8" x14ac:dyDescent="0.25">
      <c r="A71" s="8" t="s">
        <v>164</v>
      </c>
      <c r="B71" s="65">
        <v>15.6724</v>
      </c>
      <c r="C71" s="13">
        <v>12.5802</v>
      </c>
      <c r="D71" s="13">
        <v>11.407299999999999</v>
      </c>
      <c r="E71" s="13">
        <v>12.177899999999999</v>
      </c>
      <c r="F71" s="13" t="s">
        <v>37</v>
      </c>
      <c r="G71" s="13" t="s">
        <v>37</v>
      </c>
      <c r="H71" s="13" t="s">
        <v>37</v>
      </c>
    </row>
    <row r="72" spans="1:8" x14ac:dyDescent="0.25">
      <c r="A72" s="8"/>
      <c r="B72" s="65"/>
      <c r="C72" s="13"/>
      <c r="D72" s="13"/>
      <c r="E72" s="13"/>
      <c r="F72" s="13"/>
      <c r="G72" s="13"/>
      <c r="H72" s="13"/>
    </row>
    <row r="73" spans="1:8" x14ac:dyDescent="0.25">
      <c r="A73" s="8" t="s">
        <v>98</v>
      </c>
      <c r="B73" s="65">
        <f>B21*B65</f>
        <v>9359.0933999999997</v>
      </c>
      <c r="C73" s="65">
        <f t="shared" ref="C73:E73" si="8">C21*C65</f>
        <v>11147.080148999999</v>
      </c>
      <c r="D73" s="65">
        <f t="shared" si="8"/>
        <v>11051.433851999998</v>
      </c>
      <c r="E73" s="65">
        <f t="shared" si="8"/>
        <v>11193.673119599998</v>
      </c>
      <c r="F73" s="65"/>
      <c r="G73" s="13"/>
      <c r="H73" s="13"/>
    </row>
    <row r="74" spans="1:8" x14ac:dyDescent="0.25">
      <c r="A74" s="8"/>
      <c r="B74" s="65"/>
      <c r="C74" s="13"/>
      <c r="D74" s="13"/>
      <c r="E74" s="13"/>
      <c r="F74" s="13"/>
      <c r="G74" s="13"/>
      <c r="H74" s="13"/>
    </row>
    <row r="77" spans="1:8" x14ac:dyDescent="0.25">
      <c r="A77" s="9" t="s">
        <v>73</v>
      </c>
      <c r="B77" s="8"/>
      <c r="C77" s="8"/>
      <c r="D77" s="8"/>
      <c r="E77" s="8"/>
      <c r="F77" s="8"/>
      <c r="G77" s="8"/>
    </row>
    <row r="78" spans="1:8" x14ac:dyDescent="0.25">
      <c r="A78" s="8"/>
      <c r="B78" s="10" t="s">
        <v>24</v>
      </c>
      <c r="C78" s="10" t="s">
        <v>25</v>
      </c>
      <c r="D78" s="10" t="s">
        <v>26</v>
      </c>
      <c r="E78" s="10" t="s">
        <v>27</v>
      </c>
      <c r="F78" s="10" t="s">
        <v>28</v>
      </c>
      <c r="G78" s="10" t="s">
        <v>29</v>
      </c>
    </row>
    <row r="79" spans="1:8" x14ac:dyDescent="0.25">
      <c r="A79" s="8"/>
      <c r="B79" s="11" t="s">
        <v>30</v>
      </c>
      <c r="C79" s="11" t="s">
        <v>31</v>
      </c>
      <c r="D79" s="11" t="s">
        <v>32</v>
      </c>
      <c r="E79" s="11" t="s">
        <v>33</v>
      </c>
      <c r="F79" s="11" t="s">
        <v>34</v>
      </c>
      <c r="G79" s="11" t="s">
        <v>35</v>
      </c>
    </row>
    <row r="80" spans="1:8" x14ac:dyDescent="0.25">
      <c r="A80" s="8" t="s">
        <v>36</v>
      </c>
      <c r="B80" s="12">
        <v>1.52667</v>
      </c>
      <c r="C80" s="12">
        <v>1.45512</v>
      </c>
      <c r="D80" s="12">
        <v>1.4769699999999999</v>
      </c>
      <c r="E80" s="12">
        <v>1.5335799999999999</v>
      </c>
      <c r="F80" s="12">
        <v>1.6265799999999999</v>
      </c>
      <c r="G80" s="12" t="s">
        <v>37</v>
      </c>
    </row>
    <row r="81" spans="1:7" x14ac:dyDescent="0.25">
      <c r="A81" s="8" t="s">
        <v>38</v>
      </c>
      <c r="B81" s="12">
        <v>1.52732</v>
      </c>
      <c r="C81" s="12">
        <v>1.46397</v>
      </c>
      <c r="D81" s="12">
        <v>1.52949</v>
      </c>
      <c r="E81" s="12">
        <v>1.66021</v>
      </c>
      <c r="F81" s="12">
        <v>1.7214100000000001</v>
      </c>
      <c r="G81" s="12" t="s">
        <v>37</v>
      </c>
    </row>
    <row r="82" spans="1:7" x14ac:dyDescent="0.25">
      <c r="A82" s="8" t="s">
        <v>39</v>
      </c>
      <c r="B82" s="12">
        <v>1.52667</v>
      </c>
      <c r="C82" s="12">
        <v>1.45512</v>
      </c>
      <c r="D82" s="12">
        <v>1.4769699999999999</v>
      </c>
      <c r="E82" s="12">
        <v>1.5335799999999999</v>
      </c>
      <c r="F82" s="12">
        <v>1.6265799999999999</v>
      </c>
      <c r="G82" s="12" t="s">
        <v>37</v>
      </c>
    </row>
    <row r="83" spans="1:7" x14ac:dyDescent="0.25">
      <c r="A83" s="8" t="s">
        <v>74</v>
      </c>
      <c r="B83" s="12">
        <v>0.54772699999999996</v>
      </c>
      <c r="C83" s="12">
        <v>0.57410399999999995</v>
      </c>
      <c r="D83" s="12">
        <v>0.59659700000000004</v>
      </c>
      <c r="E83" s="12" t="s">
        <v>37</v>
      </c>
      <c r="F83" s="12" t="s">
        <v>37</v>
      </c>
      <c r="G83" s="12" t="s">
        <v>37</v>
      </c>
    </row>
    <row r="84" spans="1:7" x14ac:dyDescent="0.25">
      <c r="A84" s="8" t="s">
        <v>75</v>
      </c>
      <c r="B84" s="12">
        <v>1.2409300000000001</v>
      </c>
      <c r="C84" s="12">
        <v>1.3078099999999999</v>
      </c>
      <c r="D84" s="12" t="s">
        <v>37</v>
      </c>
      <c r="E84" s="12" t="s">
        <v>37</v>
      </c>
      <c r="F84" s="12" t="s">
        <v>37</v>
      </c>
      <c r="G84" s="12" t="s">
        <v>37</v>
      </c>
    </row>
    <row r="85" spans="1:7" x14ac:dyDescent="0.25">
      <c r="A85" s="8" t="s">
        <v>76</v>
      </c>
      <c r="B85" s="12">
        <v>3.3302299999999998</v>
      </c>
      <c r="C85" s="12">
        <v>3.3018999999999998</v>
      </c>
      <c r="D85" s="12">
        <v>3.4728599999999998</v>
      </c>
      <c r="E85" s="12" t="s">
        <v>37</v>
      </c>
      <c r="F85" s="12" t="s">
        <v>37</v>
      </c>
      <c r="G85" s="12" t="s">
        <v>37</v>
      </c>
    </row>
    <row r="86" spans="1:7" x14ac:dyDescent="0.25">
      <c r="A86" s="8" t="s">
        <v>77</v>
      </c>
      <c r="B86" s="12">
        <v>10.2288</v>
      </c>
      <c r="C86" s="12">
        <v>11.4155</v>
      </c>
      <c r="D86" s="12">
        <v>11.7517</v>
      </c>
      <c r="E86" s="12" t="s">
        <v>37</v>
      </c>
      <c r="F86" s="12" t="s">
        <v>37</v>
      </c>
      <c r="G86" s="12" t="s">
        <v>37</v>
      </c>
    </row>
    <row r="87" spans="1:7" x14ac:dyDescent="0.25">
      <c r="A87" s="8" t="s">
        <v>78</v>
      </c>
      <c r="B87" s="12" t="s">
        <v>37</v>
      </c>
      <c r="C87" s="12" t="s">
        <v>37</v>
      </c>
      <c r="D87" s="12" t="s">
        <v>37</v>
      </c>
      <c r="E87" s="12" t="s">
        <v>37</v>
      </c>
      <c r="F87" s="12" t="s">
        <v>37</v>
      </c>
      <c r="G87" s="12" t="s">
        <v>37</v>
      </c>
    </row>
    <row r="90" spans="1:7" x14ac:dyDescent="0.25">
      <c r="A90" s="9" t="s">
        <v>79</v>
      </c>
      <c r="B90" s="8"/>
      <c r="C90" s="8"/>
      <c r="D90" s="8"/>
      <c r="E90" s="8"/>
      <c r="F90" s="8"/>
      <c r="G90" s="8"/>
    </row>
    <row r="91" spans="1:7" x14ac:dyDescent="0.25">
      <c r="A91" s="8"/>
      <c r="B91" s="10" t="s">
        <v>24</v>
      </c>
      <c r="C91" s="10" t="s">
        <v>25</v>
      </c>
      <c r="D91" s="10" t="s">
        <v>26</v>
      </c>
      <c r="E91" s="10" t="s">
        <v>27</v>
      </c>
      <c r="F91" s="10" t="s">
        <v>28</v>
      </c>
      <c r="G91" s="10" t="s">
        <v>29</v>
      </c>
    </row>
    <row r="92" spans="1:7" x14ac:dyDescent="0.25">
      <c r="A92" s="8"/>
      <c r="B92" s="11" t="s">
        <v>30</v>
      </c>
      <c r="C92" s="11" t="s">
        <v>31</v>
      </c>
      <c r="D92" s="11" t="s">
        <v>32</v>
      </c>
      <c r="E92" s="11" t="s">
        <v>33</v>
      </c>
      <c r="F92" s="11" t="s">
        <v>34</v>
      </c>
      <c r="G92" s="11" t="s">
        <v>35</v>
      </c>
    </row>
    <row r="93" spans="1:7" x14ac:dyDescent="0.25">
      <c r="A93" s="8" t="s">
        <v>80</v>
      </c>
      <c r="B93" s="13">
        <v>19.506499999999999</v>
      </c>
      <c r="C93" s="13">
        <v>20.465699999999998</v>
      </c>
      <c r="D93" s="13">
        <v>20.1629</v>
      </c>
      <c r="E93" s="13">
        <v>19.418500000000002</v>
      </c>
      <c r="F93" s="13">
        <v>18.308299999999999</v>
      </c>
      <c r="G93" s="13" t="s">
        <v>37</v>
      </c>
    </row>
    <row r="94" spans="1:7" x14ac:dyDescent="0.25">
      <c r="A94" s="8" t="s">
        <v>81</v>
      </c>
      <c r="B94" s="13" t="s">
        <v>37</v>
      </c>
      <c r="C94" s="13" t="s">
        <v>37</v>
      </c>
      <c r="D94" s="13" t="s">
        <v>37</v>
      </c>
      <c r="E94" s="13" t="s">
        <v>37</v>
      </c>
      <c r="F94" s="13" t="s">
        <v>37</v>
      </c>
      <c r="G94" s="13" t="s">
        <v>37</v>
      </c>
    </row>
    <row r="95" spans="1:7" x14ac:dyDescent="0.25">
      <c r="A95" s="8" t="s">
        <v>82</v>
      </c>
      <c r="B95" s="13">
        <v>2.9113799999999999</v>
      </c>
      <c r="C95" s="13">
        <v>2.6087400000000001</v>
      </c>
      <c r="D95" s="13">
        <v>2.5341100000000001</v>
      </c>
      <c r="E95" s="13" t="s">
        <v>37</v>
      </c>
      <c r="F95" s="13" t="s">
        <v>37</v>
      </c>
      <c r="G95" s="13" t="s">
        <v>37</v>
      </c>
    </row>
    <row r="96" spans="1:7" x14ac:dyDescent="0.25">
      <c r="A96" s="8" t="s">
        <v>83</v>
      </c>
      <c r="B96" s="13" t="s">
        <v>37</v>
      </c>
      <c r="C96" s="13" t="s">
        <v>37</v>
      </c>
      <c r="D96" s="13" t="s">
        <v>37</v>
      </c>
      <c r="E96" s="13" t="s">
        <v>37</v>
      </c>
      <c r="F96" s="13" t="s">
        <v>37</v>
      </c>
      <c r="G96" s="13" t="s">
        <v>37</v>
      </c>
    </row>
    <row r="97" spans="1:7" x14ac:dyDescent="0.25">
      <c r="A97" s="8" t="s">
        <v>84</v>
      </c>
      <c r="B97" s="13">
        <v>8.9423200000000005</v>
      </c>
      <c r="C97" s="13">
        <v>9.01905</v>
      </c>
      <c r="D97" s="13">
        <v>8.5750600000000006</v>
      </c>
      <c r="E97" s="13" t="s">
        <v>37</v>
      </c>
      <c r="F97" s="13" t="s">
        <v>37</v>
      </c>
      <c r="G97" s="13" t="s">
        <v>37</v>
      </c>
    </row>
    <row r="98" spans="1:7" x14ac:dyDescent="0.25">
      <c r="A98" s="8" t="s">
        <v>85</v>
      </c>
      <c r="B98" s="13">
        <v>23.998100000000001</v>
      </c>
      <c r="C98" s="13">
        <v>22.770900000000001</v>
      </c>
      <c r="D98" s="13" t="s">
        <v>37</v>
      </c>
      <c r="E98" s="13" t="s">
        <v>37</v>
      </c>
      <c r="F98" s="13" t="s">
        <v>37</v>
      </c>
      <c r="G98" s="13" t="s">
        <v>37</v>
      </c>
    </row>
    <row r="99" spans="1:7" x14ac:dyDescent="0.25">
      <c r="A99" s="8" t="s">
        <v>86</v>
      </c>
      <c r="B99" s="13">
        <v>0.59690799999999999</v>
      </c>
      <c r="C99" s="13">
        <v>0.57455199999999995</v>
      </c>
      <c r="D99" s="13">
        <v>0.54780499999999999</v>
      </c>
      <c r="E99" s="13">
        <v>0.51909499999999997</v>
      </c>
      <c r="F99" s="13">
        <v>0.485433</v>
      </c>
      <c r="G99" s="13" t="s">
        <v>37</v>
      </c>
    </row>
    <row r="100" spans="1:7" x14ac:dyDescent="0.25">
      <c r="A100" s="8" t="s">
        <v>98</v>
      </c>
      <c r="B100" s="13" t="e">
        <f>B60*B103</f>
        <v>#VALUE!</v>
      </c>
      <c r="C100" s="13" t="e">
        <f>C60*C103</f>
        <v>#VALUE!</v>
      </c>
      <c r="D100" s="13" t="e">
        <f>D60*D103</f>
        <v>#VALUE!</v>
      </c>
      <c r="E100" s="13" t="s">
        <v>37</v>
      </c>
      <c r="F100" s="13" t="s">
        <v>37</v>
      </c>
      <c r="G100" s="13" t="s">
        <v>37</v>
      </c>
    </row>
    <row r="101" spans="1:7" x14ac:dyDescent="0.25">
      <c r="A101" s="8" t="s">
        <v>87</v>
      </c>
      <c r="B101" s="13">
        <v>0.626892</v>
      </c>
      <c r="C101" s="13">
        <v>0.59729299999999996</v>
      </c>
      <c r="D101" s="13">
        <v>0.57732700000000003</v>
      </c>
      <c r="E101" s="13" t="s">
        <v>37</v>
      </c>
      <c r="F101" s="13" t="s">
        <v>37</v>
      </c>
      <c r="G101" s="13" t="s">
        <v>37</v>
      </c>
    </row>
    <row r="102" spans="1:7" x14ac:dyDescent="0.25">
      <c r="A102" s="8" t="s">
        <v>88</v>
      </c>
      <c r="B102" s="13">
        <v>7.3775199999999996</v>
      </c>
      <c r="C102" s="13">
        <v>7.3857999999999997</v>
      </c>
      <c r="D102" s="13">
        <v>7.3434699999999999</v>
      </c>
      <c r="E102" s="13" t="s">
        <v>37</v>
      </c>
      <c r="F102" s="13" t="s">
        <v>37</v>
      </c>
      <c r="G102" s="13" t="s">
        <v>37</v>
      </c>
    </row>
    <row r="103" spans="1:7" x14ac:dyDescent="0.25">
      <c r="A103" s="8" t="s">
        <v>89</v>
      </c>
      <c r="B103" s="13">
        <v>11.843999999999999</v>
      </c>
      <c r="C103" s="13">
        <v>12.524699999999999</v>
      </c>
      <c r="D103" s="13">
        <v>12.811999999999999</v>
      </c>
      <c r="E103" s="13" t="s">
        <v>37</v>
      </c>
      <c r="F103" s="13" t="s">
        <v>37</v>
      </c>
      <c r="G103" s="13" t="s">
        <v>37</v>
      </c>
    </row>
    <row r="104" spans="1:7" x14ac:dyDescent="0.25">
      <c r="A104" s="8" t="s">
        <v>90</v>
      </c>
      <c r="B104" s="13">
        <v>24.764099999999999</v>
      </c>
      <c r="C104" s="13">
        <v>24.146899999999999</v>
      </c>
      <c r="D104" s="13">
        <v>23.598400000000002</v>
      </c>
      <c r="E104" s="13" t="s">
        <v>37</v>
      </c>
      <c r="F104" s="13" t="s">
        <v>37</v>
      </c>
      <c r="G104" s="13" t="s">
        <v>37</v>
      </c>
    </row>
    <row r="105" spans="1:7" x14ac:dyDescent="0.25">
      <c r="A105" s="8" t="s">
        <v>91</v>
      </c>
      <c r="B105" s="13">
        <v>1.83924</v>
      </c>
      <c r="C105" s="13">
        <v>1.9278200000000001</v>
      </c>
      <c r="D105" s="13">
        <v>2.0033500000000002</v>
      </c>
      <c r="E105" s="13" t="s">
        <v>37</v>
      </c>
      <c r="F105" s="13" t="s">
        <v>37</v>
      </c>
      <c r="G105" s="13" t="s">
        <v>37</v>
      </c>
    </row>
    <row r="106" spans="1:7" x14ac:dyDescent="0.25">
      <c r="A106" s="8" t="s">
        <v>92</v>
      </c>
      <c r="B106" s="13">
        <v>49.8904</v>
      </c>
      <c r="C106" s="13">
        <v>51.831699999999998</v>
      </c>
      <c r="D106" s="13">
        <v>54.362400000000001</v>
      </c>
      <c r="E106" s="13">
        <v>57.369</v>
      </c>
      <c r="F106" s="13">
        <v>61.347299999999997</v>
      </c>
      <c r="G106" s="13" t="s">
        <v>37</v>
      </c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20"/>
  <sheetViews>
    <sheetView workbookViewId="0">
      <selection activeCell="E7" sqref="E7"/>
    </sheetView>
  </sheetViews>
  <sheetFormatPr defaultRowHeight="15" x14ac:dyDescent="0.25"/>
  <cols>
    <col min="3" max="7" width="15.7109375" customWidth="1"/>
  </cols>
  <sheetData>
    <row r="3" spans="3:13" x14ac:dyDescent="0.25">
      <c r="C3" s="76" t="s">
        <v>107</v>
      </c>
      <c r="D3" s="76"/>
      <c r="E3" s="76"/>
      <c r="F3" s="76"/>
      <c r="G3" s="76"/>
    </row>
    <row r="6" spans="3:13" x14ac:dyDescent="0.25">
      <c r="C6" s="16" t="s">
        <v>99</v>
      </c>
      <c r="D6" s="16" t="s">
        <v>100</v>
      </c>
      <c r="E6" s="16" t="s">
        <v>101</v>
      </c>
    </row>
    <row r="7" spans="3:13" x14ac:dyDescent="0.25">
      <c r="C7" s="17">
        <v>861000000</v>
      </c>
      <c r="D7" s="18">
        <f>MAX(G13:G20)</f>
        <v>301349999.99000001</v>
      </c>
      <c r="E7" s="22">
        <f>D7/C7</f>
        <v>0.3499999999883856</v>
      </c>
    </row>
    <row r="9" spans="3:13" x14ac:dyDescent="0.25">
      <c r="C9" s="17"/>
      <c r="D9" s="17"/>
      <c r="E9" s="17"/>
      <c r="F9" s="19"/>
      <c r="G9" s="18"/>
    </row>
    <row r="10" spans="3:13" x14ac:dyDescent="0.25">
      <c r="C10" s="17"/>
      <c r="D10" s="17"/>
      <c r="E10" s="17"/>
      <c r="F10" s="17"/>
      <c r="G10" s="17"/>
    </row>
    <row r="11" spans="3:13" ht="30" x14ac:dyDescent="0.25">
      <c r="C11" s="20" t="s">
        <v>102</v>
      </c>
      <c r="D11" s="20" t="s">
        <v>103</v>
      </c>
      <c r="E11" s="20" t="s">
        <v>104</v>
      </c>
      <c r="F11" s="20" t="s">
        <v>105</v>
      </c>
      <c r="G11" s="20" t="s">
        <v>106</v>
      </c>
      <c r="K11" s="23" t="s">
        <v>20</v>
      </c>
      <c r="L11" s="23" t="s">
        <v>104</v>
      </c>
      <c r="M11" s="23" t="s">
        <v>93</v>
      </c>
    </row>
    <row r="13" spans="3:13" x14ac:dyDescent="0.25">
      <c r="C13" s="21">
        <v>0</v>
      </c>
      <c r="D13" s="21">
        <v>50000</v>
      </c>
      <c r="E13">
        <v>0.15</v>
      </c>
      <c r="F13" s="18">
        <f>IF(C7&gt;=D13, D13*E13, C$7*E13)</f>
        <v>7500</v>
      </c>
      <c r="G13" s="18">
        <f>F13</f>
        <v>7500</v>
      </c>
      <c r="J13">
        <v>2016</v>
      </c>
      <c r="K13" s="14">
        <v>840.51900000000001</v>
      </c>
      <c r="L13">
        <v>0.35</v>
      </c>
      <c r="M13">
        <v>294.35000000000002</v>
      </c>
    </row>
    <row r="14" spans="3:13" x14ac:dyDescent="0.25">
      <c r="C14" s="21">
        <v>50001</v>
      </c>
      <c r="D14" s="21">
        <v>75000</v>
      </c>
      <c r="E14">
        <v>0.25</v>
      </c>
      <c r="F14" s="18">
        <f t="shared" ref="F14:F19" si="0">IF(C$7&gt;=D14, ((D14-C14+1)*E14), IF(C$7 &lt; C14, 0, (C$7-C14+1)*E14))</f>
        <v>6250</v>
      </c>
      <c r="G14" s="18">
        <f>G13+F14</f>
        <v>13750</v>
      </c>
      <c r="J14">
        <f>J13+1</f>
        <v>2017</v>
      </c>
      <c r="K14" s="14">
        <v>786.77800000000002</v>
      </c>
      <c r="L14">
        <v>0.35</v>
      </c>
      <c r="M14">
        <v>275.45</v>
      </c>
    </row>
    <row r="15" spans="3:13" x14ac:dyDescent="0.25">
      <c r="C15" s="21">
        <v>75001</v>
      </c>
      <c r="D15" s="21">
        <v>100000</v>
      </c>
      <c r="E15">
        <v>0.34</v>
      </c>
      <c r="F15" s="18">
        <f t="shared" si="0"/>
        <v>8500</v>
      </c>
      <c r="G15" s="18">
        <f t="shared" ref="G15:G20" si="1">G14+F15</f>
        <v>22250</v>
      </c>
      <c r="J15">
        <f t="shared" ref="J15:J17" si="2">J14+1</f>
        <v>2018</v>
      </c>
      <c r="K15" s="14">
        <v>779.72400000000005</v>
      </c>
      <c r="L15">
        <v>0.35</v>
      </c>
      <c r="M15">
        <v>273</v>
      </c>
    </row>
    <row r="16" spans="3:13" x14ac:dyDescent="0.25">
      <c r="C16" s="21">
        <v>100001</v>
      </c>
      <c r="D16" s="21">
        <v>335000</v>
      </c>
      <c r="E16">
        <v>0.39</v>
      </c>
      <c r="F16" s="18">
        <f t="shared" si="0"/>
        <v>91650</v>
      </c>
      <c r="G16" s="18">
        <f t="shared" si="1"/>
        <v>113900</v>
      </c>
      <c r="J16">
        <f t="shared" si="2"/>
        <v>2019</v>
      </c>
      <c r="K16" s="14">
        <v>781.24400000000003</v>
      </c>
      <c r="L16">
        <v>0.35</v>
      </c>
      <c r="M16">
        <v>273.35000000000002</v>
      </c>
    </row>
    <row r="17" spans="3:13" x14ac:dyDescent="0.25">
      <c r="C17" s="21">
        <v>335001</v>
      </c>
      <c r="D17" s="21">
        <v>10000000</v>
      </c>
      <c r="E17">
        <v>0.34</v>
      </c>
      <c r="F17" s="18">
        <f t="shared" si="0"/>
        <v>3286100.0000000005</v>
      </c>
      <c r="G17" s="18">
        <f t="shared" si="1"/>
        <v>3400000.0000000005</v>
      </c>
      <c r="J17">
        <f t="shared" si="2"/>
        <v>2020</v>
      </c>
      <c r="K17" s="14">
        <v>815.63699999999994</v>
      </c>
      <c r="L17">
        <v>0.35</v>
      </c>
      <c r="M17">
        <v>285.60000000000002</v>
      </c>
    </row>
    <row r="18" spans="3:13" x14ac:dyDescent="0.25">
      <c r="C18" s="21">
        <v>10000001</v>
      </c>
      <c r="D18" s="21">
        <v>15000000</v>
      </c>
      <c r="E18">
        <v>0.35</v>
      </c>
      <c r="F18" s="18">
        <f t="shared" si="0"/>
        <v>1750000</v>
      </c>
      <c r="G18" s="18">
        <f t="shared" si="1"/>
        <v>5150000</v>
      </c>
    </row>
    <row r="19" spans="3:13" x14ac:dyDescent="0.25">
      <c r="C19" s="21">
        <v>15000001</v>
      </c>
      <c r="D19" s="21">
        <v>18333333</v>
      </c>
      <c r="E19">
        <v>0.38</v>
      </c>
      <c r="F19" s="18">
        <f t="shared" si="0"/>
        <v>1266666.54</v>
      </c>
      <c r="G19" s="18">
        <f t="shared" si="1"/>
        <v>6416666.54</v>
      </c>
    </row>
    <row r="20" spans="3:13" x14ac:dyDescent="0.25">
      <c r="C20" s="21">
        <v>18333334</v>
      </c>
      <c r="E20">
        <v>0.35</v>
      </c>
      <c r="F20" s="18">
        <f>IF(C$7&gt;C20, ((C$7-C20+1)*E20), 0)</f>
        <v>294933333.44999999</v>
      </c>
      <c r="G20" s="18">
        <f t="shared" si="1"/>
        <v>301349999.99000001</v>
      </c>
    </row>
  </sheetData>
  <mergeCells count="1">
    <mergeCell ref="C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Y75"/>
  <sheetViews>
    <sheetView topLeftCell="A22" zoomScale="80" zoomScaleNormal="80" workbookViewId="0">
      <selection activeCell="AC22" sqref="AC22"/>
    </sheetView>
  </sheetViews>
  <sheetFormatPr defaultRowHeight="15" x14ac:dyDescent="0.25"/>
  <cols>
    <col min="4" max="4" width="9.28515625" bestFit="1" customWidth="1"/>
    <col min="5" max="5" width="13.28515625" bestFit="1" customWidth="1"/>
    <col min="6" max="6" width="11.28515625" bestFit="1" customWidth="1"/>
    <col min="7" max="7" width="12.140625" bestFit="1" customWidth="1"/>
    <col min="8" max="8" width="12.140625" customWidth="1"/>
    <col min="9" max="9" width="9.28515625" bestFit="1" customWidth="1"/>
    <col min="10" max="10" width="11.28515625" bestFit="1" customWidth="1"/>
    <col min="11" max="11" width="10.140625" bestFit="1" customWidth="1"/>
    <col min="12" max="12" width="11.28515625" bestFit="1" customWidth="1"/>
    <col min="13" max="13" width="10.140625" bestFit="1" customWidth="1"/>
    <col min="14" max="14" width="13.28515625" customWidth="1"/>
    <col min="15" max="16" width="11.28515625" bestFit="1" customWidth="1"/>
    <col min="17" max="17" width="11.5703125" bestFit="1" customWidth="1"/>
  </cols>
  <sheetData>
    <row r="2" spans="3:25" ht="23.25" x14ac:dyDescent="0.35">
      <c r="C2" s="78" t="s">
        <v>123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3:25" x14ac:dyDescent="0.25">
      <c r="C3" s="76" t="s">
        <v>125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3:25" x14ac:dyDescent="0.25">
      <c r="C4" s="76" t="s">
        <v>124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6" spans="3:25" x14ac:dyDescent="0.25">
      <c r="U6" s="71"/>
      <c r="V6" s="71"/>
      <c r="W6" s="71"/>
      <c r="X6" s="71"/>
      <c r="Y6" s="71"/>
    </row>
    <row r="7" spans="3:25" x14ac:dyDescent="0.25">
      <c r="U7" s="71"/>
      <c r="V7" s="71"/>
      <c r="W7" s="71"/>
      <c r="X7" s="71"/>
      <c r="Y7" s="71"/>
    </row>
    <row r="8" spans="3:25" ht="15" customHeight="1" x14ac:dyDescent="0.25">
      <c r="D8" s="3" t="s">
        <v>118</v>
      </c>
      <c r="E8">
        <f>O8</f>
        <v>2016</v>
      </c>
      <c r="L8" s="36"/>
      <c r="M8" s="36"/>
      <c r="N8" s="36"/>
      <c r="O8" s="66">
        <v>2016</v>
      </c>
      <c r="P8" s="66">
        <v>2015</v>
      </c>
      <c r="Q8" s="66">
        <v>2014</v>
      </c>
      <c r="U8" s="71"/>
      <c r="V8" s="71"/>
      <c r="W8" s="71"/>
      <c r="X8" s="71"/>
      <c r="Y8" s="71"/>
    </row>
    <row r="9" spans="3:25" ht="15" customHeight="1" x14ac:dyDescent="0.25">
      <c r="C9" s="26"/>
      <c r="D9" s="39" t="s">
        <v>166</v>
      </c>
      <c r="E9" s="7">
        <f>O15</f>
        <v>6.9101999999999997E-2</v>
      </c>
      <c r="G9" s="26"/>
      <c r="H9" s="26"/>
      <c r="I9" s="26"/>
      <c r="J9" s="26"/>
      <c r="K9" s="26"/>
      <c r="L9" s="80" t="s">
        <v>170</v>
      </c>
      <c r="M9" s="80"/>
      <c r="N9" s="80"/>
      <c r="O9">
        <v>30.76</v>
      </c>
      <c r="P9" s="37">
        <v>33.5</v>
      </c>
      <c r="Q9" s="37">
        <v>48.4</v>
      </c>
      <c r="U9" s="71"/>
      <c r="V9" s="71"/>
      <c r="W9" s="71"/>
      <c r="X9" s="71"/>
      <c r="Y9" s="71"/>
    </row>
    <row r="10" spans="3:25" ht="17.25" x14ac:dyDescent="0.25">
      <c r="C10" s="26"/>
      <c r="D10" s="40" t="s">
        <v>167</v>
      </c>
      <c r="E10" s="7">
        <f>(N21-N20+H21)/E21</f>
        <v>1.7842617152961981</v>
      </c>
      <c r="G10" s="26"/>
      <c r="H10" s="26"/>
      <c r="I10" s="26"/>
      <c r="J10" s="26"/>
      <c r="K10" s="80" t="s">
        <v>126</v>
      </c>
      <c r="L10" s="80"/>
      <c r="M10" s="80"/>
      <c r="N10" s="80"/>
      <c r="O10">
        <v>318.3</v>
      </c>
      <c r="P10" s="38">
        <v>358.5</v>
      </c>
      <c r="Q10" s="38">
        <v>367.8</v>
      </c>
      <c r="U10" s="71"/>
      <c r="V10" s="71"/>
      <c r="W10" s="71"/>
      <c r="X10" s="71"/>
      <c r="Y10" s="71"/>
    </row>
    <row r="11" spans="3:25" ht="17.25" x14ac:dyDescent="0.25">
      <c r="C11" s="26"/>
      <c r="D11" s="40" t="s">
        <v>168</v>
      </c>
      <c r="E11" s="74">
        <f>E10*O21</f>
        <v>0.20180000000000003</v>
      </c>
      <c r="J11" s="26"/>
      <c r="K11" s="26"/>
      <c r="L11" s="80" t="s">
        <v>127</v>
      </c>
      <c r="M11" s="80"/>
      <c r="N11" s="80"/>
      <c r="O11" s="37">
        <f>O9*O10</f>
        <v>9790.9080000000013</v>
      </c>
      <c r="P11" s="37">
        <f>P9*P10</f>
        <v>12009.75</v>
      </c>
      <c r="Q11" s="37">
        <f>Q9*Q10</f>
        <v>17801.52</v>
      </c>
      <c r="U11" s="71"/>
      <c r="V11" s="71"/>
      <c r="W11" s="71"/>
      <c r="X11" s="71"/>
      <c r="Y11" s="71"/>
    </row>
    <row r="12" spans="3:25" ht="18.75" x14ac:dyDescent="0.35">
      <c r="C12" s="26"/>
      <c r="D12" s="39" t="s">
        <v>169</v>
      </c>
      <c r="E12" s="7">
        <f>((D26-D19)/D19)/(C26-C19)</f>
        <v>-2.4166411746711532E-2</v>
      </c>
      <c r="G12" s="6"/>
      <c r="H12" s="6"/>
      <c r="I12" s="26"/>
      <c r="J12" s="26"/>
      <c r="K12" s="26"/>
      <c r="L12" s="81" t="s">
        <v>171</v>
      </c>
      <c r="M12" s="81"/>
      <c r="N12" s="81"/>
      <c r="O12" s="53">
        <v>1776</v>
      </c>
      <c r="P12" s="53">
        <v>720</v>
      </c>
      <c r="Q12" s="53">
        <v>674</v>
      </c>
      <c r="U12" s="71"/>
      <c r="V12" s="71"/>
      <c r="W12" s="71"/>
      <c r="X12" s="71"/>
      <c r="Y12" s="71"/>
    </row>
    <row r="13" spans="3:25" x14ac:dyDescent="0.25">
      <c r="C13" s="26"/>
      <c r="D13" s="3"/>
      <c r="E13" s="6"/>
      <c r="G13" s="6"/>
      <c r="H13" s="6"/>
      <c r="I13" s="26"/>
      <c r="J13" s="26"/>
      <c r="K13" s="26"/>
      <c r="L13" s="16"/>
      <c r="M13" s="16"/>
      <c r="N13" s="67" t="s">
        <v>172</v>
      </c>
      <c r="O13">
        <v>852</v>
      </c>
      <c r="P13">
        <v>519</v>
      </c>
      <c r="Q13">
        <v>852</v>
      </c>
      <c r="U13" s="42"/>
      <c r="V13" s="42"/>
      <c r="W13" s="42"/>
      <c r="X13" s="42"/>
      <c r="Y13" s="42"/>
    </row>
    <row r="14" spans="3:25" ht="18" x14ac:dyDescent="0.35">
      <c r="C14" s="26"/>
      <c r="D14" s="16" t="s">
        <v>121</v>
      </c>
      <c r="E14">
        <v>15</v>
      </c>
      <c r="G14" s="3" t="s">
        <v>122</v>
      </c>
      <c r="H14" s="18">
        <f>((1-E15)*(1-E11/O21))/(E9-E11)</f>
        <v>3.8415809955125839</v>
      </c>
      <c r="J14" s="26"/>
      <c r="K14" s="26"/>
      <c r="L14" s="16"/>
      <c r="M14" s="16"/>
      <c r="N14" s="67" t="s">
        <v>173</v>
      </c>
      <c r="O14" s="70">
        <f>O$11+O$12-O$13</f>
        <v>10714.908000000001</v>
      </c>
      <c r="P14" s="70">
        <f t="shared" ref="P14:Q14" si="0">P$11+P$12-P$13</f>
        <v>12210.75</v>
      </c>
      <c r="Q14" s="70">
        <f t="shared" si="0"/>
        <v>17623.52</v>
      </c>
      <c r="U14" s="42"/>
      <c r="V14" s="42"/>
      <c r="W14" s="42"/>
      <c r="X14" s="42"/>
      <c r="Y14" s="42"/>
    </row>
    <row r="15" spans="3:25" ht="17.25" x14ac:dyDescent="0.25">
      <c r="C15" s="26"/>
      <c r="D15" s="3" t="s">
        <v>104</v>
      </c>
      <c r="E15" s="6">
        <v>0.35</v>
      </c>
      <c r="G15" s="6"/>
      <c r="H15" s="6"/>
      <c r="I15" s="26"/>
      <c r="J15" s="26"/>
      <c r="K15" s="26"/>
      <c r="L15" s="16"/>
      <c r="M15" s="16"/>
      <c r="N15" s="39" t="s">
        <v>166</v>
      </c>
      <c r="O15" s="7">
        <v>6.9101999999999997E-2</v>
      </c>
      <c r="P15" s="7">
        <v>8.1800999999999999E-2</v>
      </c>
      <c r="Q15" s="7">
        <v>9.6709000000000003E-2</v>
      </c>
      <c r="U15" s="42"/>
      <c r="V15" s="42"/>
      <c r="W15" s="42"/>
      <c r="X15" s="42"/>
      <c r="Y15" s="42"/>
    </row>
    <row r="16" spans="3:25" x14ac:dyDescent="0.25">
      <c r="C16" s="26"/>
      <c r="D16" s="3"/>
      <c r="E16" s="6"/>
      <c r="G16" s="6"/>
      <c r="H16" s="6"/>
      <c r="I16" s="26"/>
      <c r="J16" s="26"/>
      <c r="K16" s="26"/>
      <c r="L16" s="16"/>
      <c r="M16" s="16"/>
      <c r="N16" s="16"/>
      <c r="U16" s="42"/>
      <c r="V16" s="42"/>
      <c r="W16" s="42"/>
      <c r="X16" s="42"/>
      <c r="Y16" s="42"/>
    </row>
    <row r="17" spans="2:18" x14ac:dyDescent="0.25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2:18" ht="30" x14ac:dyDescent="0.25">
      <c r="C18" s="16" t="s">
        <v>111</v>
      </c>
      <c r="D18" s="20" t="s">
        <v>20</v>
      </c>
      <c r="E18" s="39" t="s">
        <v>190</v>
      </c>
      <c r="F18" s="72" t="s">
        <v>108</v>
      </c>
      <c r="G18" s="72" t="s">
        <v>93</v>
      </c>
      <c r="H18" s="72" t="s">
        <v>128</v>
      </c>
      <c r="I18" s="72" t="s">
        <v>191</v>
      </c>
      <c r="J18" s="72" t="s">
        <v>192</v>
      </c>
      <c r="K18" s="72" t="s">
        <v>95</v>
      </c>
      <c r="L18" s="72" t="s">
        <v>96</v>
      </c>
      <c r="M18" s="72" t="s">
        <v>97</v>
      </c>
      <c r="N18" s="72" t="s">
        <v>196</v>
      </c>
      <c r="O18" s="72" t="s">
        <v>193</v>
      </c>
      <c r="P18" s="72" t="s">
        <v>194</v>
      </c>
      <c r="Q18" s="72" t="s">
        <v>110</v>
      </c>
      <c r="R18" s="20"/>
    </row>
    <row r="19" spans="2:18" x14ac:dyDescent="0.25">
      <c r="C19" s="33">
        <v>2014</v>
      </c>
      <c r="D19" s="34">
        <v>934</v>
      </c>
      <c r="E19" s="35">
        <f t="shared" ref="E19:E26" si="1">D19*(1-$E$15)</f>
        <v>607.1</v>
      </c>
      <c r="F19" s="34">
        <v>946</v>
      </c>
      <c r="G19" s="34">
        <v>367</v>
      </c>
      <c r="H19" s="34">
        <v>410</v>
      </c>
      <c r="I19" s="34">
        <v>308</v>
      </c>
      <c r="J19" s="34">
        <v>0</v>
      </c>
      <c r="K19" s="34">
        <v>3988</v>
      </c>
      <c r="L19" s="34">
        <v>1756</v>
      </c>
      <c r="M19" s="34">
        <v>1257</v>
      </c>
      <c r="N19" s="28">
        <f t="shared" ref="N19:N20" si="2">K19+(L19-M19)</f>
        <v>4487</v>
      </c>
      <c r="O19" s="25">
        <f t="shared" ref="O19:O20" si="3">E19/N19</f>
        <v>0.13530198350791175</v>
      </c>
      <c r="P19" s="34">
        <f>Q14</f>
        <v>17623.52</v>
      </c>
      <c r="Q19" s="34">
        <f>P19/D19</f>
        <v>18.868865096359745</v>
      </c>
      <c r="R19" s="20"/>
    </row>
    <row r="20" spans="2:18" x14ac:dyDescent="0.25">
      <c r="C20" s="33">
        <v>2015</v>
      </c>
      <c r="D20" s="34">
        <v>861</v>
      </c>
      <c r="E20" s="35">
        <f t="shared" si="1"/>
        <v>559.65</v>
      </c>
      <c r="F20" s="34">
        <v>878</v>
      </c>
      <c r="G20" s="34">
        <v>342</v>
      </c>
      <c r="H20" s="34">
        <v>408</v>
      </c>
      <c r="I20" s="34">
        <v>223.3</v>
      </c>
      <c r="J20" s="34">
        <v>0</v>
      </c>
      <c r="K20" s="34">
        <v>4197</v>
      </c>
      <c r="L20" s="34">
        <v>1544</v>
      </c>
      <c r="M20" s="34">
        <v>1252</v>
      </c>
      <c r="N20" s="28">
        <f t="shared" si="2"/>
        <v>4489</v>
      </c>
      <c r="O20" s="25">
        <f t="shared" si="3"/>
        <v>0.12467141902428157</v>
      </c>
      <c r="P20" s="34">
        <f>P14</f>
        <v>12210.75</v>
      </c>
      <c r="Q20" s="34">
        <f>P20/D20</f>
        <v>14.182055749128919</v>
      </c>
      <c r="R20" s="20"/>
    </row>
    <row r="21" spans="2:18" x14ac:dyDescent="0.25">
      <c r="B21" s="32" t="s">
        <v>118</v>
      </c>
      <c r="C21" s="24">
        <v>2016</v>
      </c>
      <c r="D21" s="73">
        <v>870</v>
      </c>
      <c r="E21" s="27">
        <f t="shared" si="1"/>
        <v>565.5</v>
      </c>
      <c r="F21" s="73">
        <v>827</v>
      </c>
      <c r="G21" s="73">
        <v>320</v>
      </c>
      <c r="H21" s="28">
        <v>498</v>
      </c>
      <c r="I21" s="28">
        <v>401.99799999999999</v>
      </c>
      <c r="J21" s="28">
        <v>30</v>
      </c>
      <c r="K21" s="28">
        <v>4366</v>
      </c>
      <c r="L21" s="28">
        <v>1975</v>
      </c>
      <c r="M21" s="28">
        <v>1341</v>
      </c>
      <c r="N21" s="28">
        <f>K21+(L21-M21)</f>
        <v>5000</v>
      </c>
      <c r="O21" s="25">
        <f>E21/N21</f>
        <v>0.11310000000000001</v>
      </c>
      <c r="P21" s="28">
        <f>O14</f>
        <v>10714.908000000001</v>
      </c>
      <c r="Q21" s="15">
        <f>P21/D21</f>
        <v>12.315986206896554</v>
      </c>
    </row>
    <row r="22" spans="2:18" x14ac:dyDescent="0.25">
      <c r="B22">
        <v>1</v>
      </c>
      <c r="C22" s="24">
        <f t="shared" ref="C22:C25" si="4">C21+1</f>
        <v>2017</v>
      </c>
      <c r="D22" s="73">
        <v>735.69600000000003</v>
      </c>
      <c r="E22" s="27">
        <f t="shared" si="1"/>
        <v>478.20240000000001</v>
      </c>
      <c r="F22" s="73">
        <v>690.08399999999995</v>
      </c>
      <c r="G22" s="73">
        <v>267.03800000000001</v>
      </c>
      <c r="H22" s="28">
        <v>562.25400000000002</v>
      </c>
      <c r="I22" s="28">
        <v>408.09100000000001</v>
      </c>
      <c r="J22" s="28">
        <v>45.61200000000008</v>
      </c>
      <c r="K22" s="28">
        <v>4473.25</v>
      </c>
      <c r="L22" s="28">
        <v>2166.17</v>
      </c>
      <c r="M22" s="28">
        <v>1359.9</v>
      </c>
      <c r="N22" s="28">
        <f t="shared" ref="N22:N26" si="5">K22+(L22-M22)</f>
        <v>5279.52</v>
      </c>
      <c r="O22" s="25">
        <f t="shared" ref="O22:O26" si="6">E22/N22</f>
        <v>9.0576870624602235E-2</v>
      </c>
      <c r="P22" s="28">
        <v>11147.080148999999</v>
      </c>
      <c r="Q22" s="15">
        <f t="shared" ref="Q22:Q26" si="7">P22/D22</f>
        <v>15.151747663437071</v>
      </c>
    </row>
    <row r="23" spans="2:18" x14ac:dyDescent="0.25">
      <c r="B23">
        <v>2</v>
      </c>
      <c r="C23" s="24">
        <f t="shared" si="4"/>
        <v>2018</v>
      </c>
      <c r="D23" s="73">
        <v>727.01400000000001</v>
      </c>
      <c r="E23" s="27">
        <f t="shared" si="1"/>
        <v>472.5591</v>
      </c>
      <c r="F23" s="73">
        <v>682.37400000000002</v>
      </c>
      <c r="G23" s="73">
        <v>268.75400000000002</v>
      </c>
      <c r="H23" s="28">
        <v>603.30599999999993</v>
      </c>
      <c r="I23" s="28">
        <v>423.32499999999999</v>
      </c>
      <c r="J23" s="28">
        <v>44.639999999999986</v>
      </c>
      <c r="K23" s="28">
        <v>4622.9799999999996</v>
      </c>
      <c r="L23" s="28">
        <v>2393.4</v>
      </c>
      <c r="M23" s="28">
        <v>1439.9</v>
      </c>
      <c r="N23" s="28">
        <f t="shared" si="5"/>
        <v>5576.48</v>
      </c>
      <c r="O23" s="25">
        <f t="shared" si="6"/>
        <v>8.4741467735919437E-2</v>
      </c>
      <c r="P23" s="28">
        <v>11051.433851999998</v>
      </c>
      <c r="Q23" s="15">
        <f t="shared" si="7"/>
        <v>15.201129348265644</v>
      </c>
    </row>
    <row r="24" spans="2:18" x14ac:dyDescent="0.25">
      <c r="B24">
        <v>3</v>
      </c>
      <c r="C24" s="24">
        <f t="shared" si="4"/>
        <v>2019</v>
      </c>
      <c r="D24" s="73">
        <v>735.03399999999999</v>
      </c>
      <c r="E24" s="27">
        <f t="shared" si="1"/>
        <v>477.77210000000002</v>
      </c>
      <c r="F24" s="73">
        <v>681.90899999999999</v>
      </c>
      <c r="G24" s="73">
        <v>283.89999999999998</v>
      </c>
      <c r="H24" s="28">
        <v>548.75599999999997</v>
      </c>
      <c r="I24" s="28">
        <v>469.76600000000002</v>
      </c>
      <c r="J24" s="28">
        <v>53.125</v>
      </c>
      <c r="K24" s="28">
        <v>4733.07</v>
      </c>
      <c r="L24" s="28">
        <v>2129.5</v>
      </c>
      <c r="M24" s="28">
        <v>1426.27</v>
      </c>
      <c r="N24" s="28">
        <f t="shared" si="5"/>
        <v>5436.2999999999993</v>
      </c>
      <c r="O24" s="25">
        <f t="shared" si="6"/>
        <v>8.7885528760370119E-2</v>
      </c>
      <c r="P24" s="41">
        <v>11193.673119599998</v>
      </c>
      <c r="Q24" s="15">
        <f t="shared" si="7"/>
        <v>15.228782776851137</v>
      </c>
    </row>
    <row r="25" spans="2:18" x14ac:dyDescent="0.25">
      <c r="B25">
        <v>4</v>
      </c>
      <c r="C25" s="24">
        <f t="shared" si="4"/>
        <v>2020</v>
      </c>
      <c r="D25" s="73">
        <v>823.86699999999996</v>
      </c>
      <c r="E25" s="27">
        <f t="shared" si="1"/>
        <v>535.51355000000001</v>
      </c>
      <c r="F25" s="73">
        <v>762.85</v>
      </c>
      <c r="G25" s="73">
        <v>299.66699999999997</v>
      </c>
      <c r="H25" s="28">
        <v>684.76300000000015</v>
      </c>
      <c r="I25" s="28">
        <v>496.19</v>
      </c>
      <c r="J25" s="28">
        <v>61.016999999999939</v>
      </c>
      <c r="K25" s="28">
        <v>4704.8</v>
      </c>
      <c r="L25" s="28">
        <v>2592</v>
      </c>
      <c r="M25" s="28">
        <v>1520.2</v>
      </c>
      <c r="N25" s="28">
        <f t="shared" si="5"/>
        <v>5776.6</v>
      </c>
      <c r="O25" s="25">
        <f t="shared" si="6"/>
        <v>9.2703934840563648E-2</v>
      </c>
      <c r="P25" s="41">
        <f>P24*(1+0.001743)</f>
        <v>11213.183691847462</v>
      </c>
      <c r="Q25" s="15">
        <f t="shared" si="7"/>
        <v>13.610429464764898</v>
      </c>
    </row>
    <row r="26" spans="2:18" x14ac:dyDescent="0.25">
      <c r="B26" s="16">
        <v>5</v>
      </c>
      <c r="C26">
        <v>2021</v>
      </c>
      <c r="D26" s="73">
        <v>776</v>
      </c>
      <c r="E26" s="27">
        <f t="shared" si="1"/>
        <v>504.40000000000003</v>
      </c>
      <c r="F26" s="73">
        <v>680</v>
      </c>
      <c r="G26" s="73">
        <v>265</v>
      </c>
      <c r="H26" s="18">
        <v>688</v>
      </c>
      <c r="I26" s="18">
        <f>I25*(1+E12)</f>
        <v>484.19886815539923</v>
      </c>
      <c r="J26" s="18">
        <v>96</v>
      </c>
      <c r="K26" s="18">
        <v>4640</v>
      </c>
      <c r="L26" s="18">
        <v>2442</v>
      </c>
      <c r="M26" s="18">
        <v>1572</v>
      </c>
      <c r="N26" s="28">
        <f t="shared" si="5"/>
        <v>5510</v>
      </c>
      <c r="O26" s="25">
        <f t="shared" si="6"/>
        <v>9.1542649727767697E-2</v>
      </c>
      <c r="P26" s="41">
        <f>P25*(1+0.001743)</f>
        <v>11232.728271022352</v>
      </c>
      <c r="Q26" s="15">
        <f t="shared" si="7"/>
        <v>14.475165297709216</v>
      </c>
    </row>
    <row r="27" spans="2:18" x14ac:dyDescent="0.25">
      <c r="B27" s="40"/>
      <c r="D27" s="31"/>
      <c r="E27" s="27"/>
      <c r="G27" s="31"/>
      <c r="H27" s="31"/>
      <c r="I27" s="31"/>
    </row>
    <row r="29" spans="2:18" ht="18" x14ac:dyDescent="0.35">
      <c r="C29" s="83" t="s">
        <v>227</v>
      </c>
      <c r="D29" s="83"/>
      <c r="E29" s="83"/>
      <c r="F29" s="83"/>
      <c r="H29" s="83" t="s">
        <v>232</v>
      </c>
      <c r="I29" s="83"/>
      <c r="J29" s="83"/>
      <c r="M29" s="83" t="s">
        <v>231</v>
      </c>
      <c r="N29" s="83"/>
      <c r="O29" s="83"/>
    </row>
    <row r="30" spans="2:18" ht="18" x14ac:dyDescent="0.35">
      <c r="D30" s="44" t="s">
        <v>109</v>
      </c>
      <c r="E30" s="44" t="s">
        <v>112</v>
      </c>
      <c r="F30" s="30" t="s">
        <v>113</v>
      </c>
      <c r="H30" s="43" t="s">
        <v>94</v>
      </c>
      <c r="I30" s="43" t="s">
        <v>233</v>
      </c>
      <c r="J30" s="84" t="s">
        <v>115</v>
      </c>
      <c r="M30" s="30" t="s">
        <v>94</v>
      </c>
      <c r="N30" s="30" t="s">
        <v>116</v>
      </c>
      <c r="O30" s="30" t="s">
        <v>115</v>
      </c>
    </row>
    <row r="31" spans="2:18" x14ac:dyDescent="0.25">
      <c r="C31">
        <v>2017</v>
      </c>
      <c r="D31" s="18">
        <f>E22</f>
        <v>478.20240000000001</v>
      </c>
      <c r="E31" s="18">
        <f>D31/((1+$E$9)^(C22-$E$8))</f>
        <v>447.29352297535689</v>
      </c>
      <c r="F31" s="18">
        <f>E31</f>
        <v>447.29352297535689</v>
      </c>
      <c r="H31" s="29">
        <f>I22</f>
        <v>408.09100000000001</v>
      </c>
      <c r="I31" s="18">
        <f>H31/((1+$E$9)^(C22-$E$8))</f>
        <v>381.71381215262903</v>
      </c>
      <c r="J31" s="18">
        <f>I31</f>
        <v>381.71381215262903</v>
      </c>
      <c r="M31" s="18">
        <f>I22</f>
        <v>408.09100000000001</v>
      </c>
      <c r="N31" s="18">
        <f>M31/((1+$E$9)^(C22-$E$8))</f>
        <v>381.71381215262903</v>
      </c>
      <c r="O31" s="18">
        <f>N31</f>
        <v>381.71381215262903</v>
      </c>
    </row>
    <row r="32" spans="2:18" x14ac:dyDescent="0.25">
      <c r="C32">
        <f>C31+1</f>
        <v>2018</v>
      </c>
      <c r="D32" s="18">
        <f>E23</f>
        <v>472.5591</v>
      </c>
      <c r="E32" s="18">
        <f>D32/((1+$E$9)^(C23-$E$8))</f>
        <v>413.44509765856577</v>
      </c>
      <c r="F32" s="18">
        <f>F31+E32</f>
        <v>860.73862063392266</v>
      </c>
      <c r="H32" s="29">
        <f t="shared" ref="H32:H35" si="8">I23</f>
        <v>423.32499999999999</v>
      </c>
      <c r="I32" s="18">
        <f t="shared" ref="I32:I35" si="9">H32/((1+$E$9)^(C23-$E$8))</f>
        <v>370.36985631281323</v>
      </c>
      <c r="J32" s="18">
        <f>J31+I32</f>
        <v>752.08366846544232</v>
      </c>
      <c r="M32" s="18">
        <f t="shared" ref="M32:M35" si="10">I23</f>
        <v>423.32499999999999</v>
      </c>
      <c r="N32" s="18">
        <f t="shared" ref="N32:N35" si="11">M32/((1+$E$9)^(C23-$E$8))</f>
        <v>370.36985631281323</v>
      </c>
      <c r="O32" s="18">
        <f>O31+N32</f>
        <v>752.08366846544232</v>
      </c>
    </row>
    <row r="33" spans="3:15" x14ac:dyDescent="0.25">
      <c r="C33">
        <f t="shared" ref="C33:C35" si="12">C32+1</f>
        <v>2019</v>
      </c>
      <c r="D33" s="18">
        <f>E24</f>
        <v>477.77210000000002</v>
      </c>
      <c r="E33" s="18">
        <f>D33/((1+$E$9)^(C24-$E$8))</f>
        <v>390.9879375485466</v>
      </c>
      <c r="F33" s="18">
        <f t="shared" ref="F33:F35" si="13">F32+E33</f>
        <v>1251.7265581824693</v>
      </c>
      <c r="H33" s="29">
        <f t="shared" si="8"/>
        <v>469.76600000000002</v>
      </c>
      <c r="I33" s="18">
        <f t="shared" si="9"/>
        <v>384.4360930042389</v>
      </c>
      <c r="J33" s="18">
        <f t="shared" ref="J33:J35" si="14">J32+I33</f>
        <v>1136.5197614696813</v>
      </c>
      <c r="M33" s="18">
        <f t="shared" si="10"/>
        <v>469.76600000000002</v>
      </c>
      <c r="N33" s="18">
        <f t="shared" si="11"/>
        <v>384.4360930042389</v>
      </c>
      <c r="O33" s="18">
        <f t="shared" ref="O33:O35" si="15">O32+N33</f>
        <v>1136.5197614696813</v>
      </c>
    </row>
    <row r="34" spans="3:15" x14ac:dyDescent="0.25">
      <c r="C34">
        <f t="shared" si="12"/>
        <v>2020</v>
      </c>
      <c r="D34" s="18">
        <f>E25</f>
        <v>535.51355000000001</v>
      </c>
      <c r="E34" s="18">
        <f>D34/((1+$E$9)^(C25-$E$8))</f>
        <v>409.9150806788748</v>
      </c>
      <c r="F34" s="18">
        <f t="shared" si="13"/>
        <v>1661.6416388613441</v>
      </c>
      <c r="H34" s="29">
        <f t="shared" si="8"/>
        <v>496.19</v>
      </c>
      <c r="I34" s="18">
        <f t="shared" si="9"/>
        <v>379.81441157194041</v>
      </c>
      <c r="J34" s="18">
        <f t="shared" si="14"/>
        <v>1516.3341730416216</v>
      </c>
      <c r="M34" s="18">
        <f t="shared" si="10"/>
        <v>496.19</v>
      </c>
      <c r="N34" s="18">
        <f t="shared" si="11"/>
        <v>379.81441157194041</v>
      </c>
      <c r="O34" s="18">
        <f t="shared" si="15"/>
        <v>1516.3341730416216</v>
      </c>
    </row>
    <row r="35" spans="3:15" x14ac:dyDescent="0.25">
      <c r="C35">
        <f t="shared" si="12"/>
        <v>2021</v>
      </c>
      <c r="D35" s="18">
        <f>E26</f>
        <v>504.40000000000003</v>
      </c>
      <c r="E35" s="18">
        <f>D35/((1+$E$9)^(C26-$E$8))</f>
        <v>361.14313848753011</v>
      </c>
      <c r="F35" s="18">
        <f t="shared" si="13"/>
        <v>2022.7847773488743</v>
      </c>
      <c r="H35" s="29">
        <f t="shared" si="8"/>
        <v>484.19886815539923</v>
      </c>
      <c r="I35" s="18">
        <f>H35/((1+$E$9)^(C26-$E$8))</f>
        <v>346.67941890910123</v>
      </c>
      <c r="J35" s="18">
        <f t="shared" si="14"/>
        <v>1863.0135919507229</v>
      </c>
      <c r="M35" s="18">
        <f t="shared" si="10"/>
        <v>484.19886815539923</v>
      </c>
      <c r="N35" s="18">
        <f t="shared" si="11"/>
        <v>346.67941890910123</v>
      </c>
      <c r="O35" s="18">
        <f t="shared" si="15"/>
        <v>1863.0135919507229</v>
      </c>
    </row>
    <row r="36" spans="3:15" x14ac:dyDescent="0.25">
      <c r="D36" s="29"/>
      <c r="E36" s="15"/>
      <c r="F36" s="15"/>
      <c r="H36" s="15"/>
      <c r="M36" s="29"/>
      <c r="N36" s="15"/>
      <c r="O36" s="15"/>
    </row>
    <row r="37" spans="3:15" x14ac:dyDescent="0.25">
      <c r="D37" s="29"/>
    </row>
    <row r="38" spans="3:15" ht="18" x14ac:dyDescent="0.35">
      <c r="E38" s="82" t="s">
        <v>114</v>
      </c>
      <c r="F38" s="18">
        <f>F35</f>
        <v>2022.7847773488743</v>
      </c>
      <c r="H38" s="18"/>
      <c r="I38" s="82" t="s">
        <v>117</v>
      </c>
      <c r="J38" s="29">
        <f>J35</f>
        <v>1863.0135919507229</v>
      </c>
      <c r="N38" s="82" t="s">
        <v>117</v>
      </c>
      <c r="O38" s="18">
        <f>O35</f>
        <v>1863.0135919507229</v>
      </c>
    </row>
    <row r="39" spans="3:15" ht="18" x14ac:dyDescent="0.35">
      <c r="E39" s="82" t="s">
        <v>119</v>
      </c>
      <c r="F39" s="18">
        <f>((D35*(1+E11))*(1-E11/O21))/(E9-E11)</f>
        <v>3582.6461433558502</v>
      </c>
      <c r="H39" s="18"/>
      <c r="I39" s="82" t="s">
        <v>119</v>
      </c>
      <c r="J39" s="18">
        <f>((E26*(1+E11))*(1-E11/O21))/(E9-E11)</f>
        <v>3582.6461433558502</v>
      </c>
      <c r="N39" s="82" t="s">
        <v>229</v>
      </c>
      <c r="O39" s="18">
        <f>(D26*(1+E11))/(E9-E11)</f>
        <v>-7027.9642496495781</v>
      </c>
    </row>
    <row r="40" spans="3:15" ht="18" x14ac:dyDescent="0.35">
      <c r="E40" s="82" t="s">
        <v>120</v>
      </c>
      <c r="F40" s="18">
        <f>F39/((1+E$9)^(C$26-E$8))</f>
        <v>2565.1230616609387</v>
      </c>
      <c r="H40" s="18"/>
      <c r="I40" s="82" t="s">
        <v>120</v>
      </c>
      <c r="J40" s="18">
        <f>J39/((1+E$9)^(C$26-E$8))</f>
        <v>2565.1230616609387</v>
      </c>
      <c r="N40" s="82" t="s">
        <v>120</v>
      </c>
      <c r="O40" s="18">
        <f>O39/((1+E9)^(C26-E8))</f>
        <v>-5031.9212258061225</v>
      </c>
    </row>
    <row r="41" spans="3:15" ht="18" x14ac:dyDescent="0.35">
      <c r="E41" s="82" t="s">
        <v>227</v>
      </c>
      <c r="F41" s="18">
        <f>F38+F40</f>
        <v>4587.907839009813</v>
      </c>
      <c r="H41" s="18"/>
      <c r="I41" s="82" t="s">
        <v>232</v>
      </c>
      <c r="J41" s="18">
        <f>J38+J40</f>
        <v>4428.136653611662</v>
      </c>
      <c r="N41" s="82" t="s">
        <v>79</v>
      </c>
      <c r="O41" s="18">
        <f>O38+O40</f>
        <v>-3168.9076338553996</v>
      </c>
    </row>
    <row r="42" spans="3:15" x14ac:dyDescent="0.25">
      <c r="E42" s="36"/>
      <c r="N42" s="82"/>
    </row>
    <row r="43" spans="3:15" x14ac:dyDescent="0.25">
      <c r="E43" s="36"/>
      <c r="N43" s="82"/>
    </row>
    <row r="44" spans="3:15" ht="18" customHeight="1" x14ac:dyDescent="0.35">
      <c r="D44" s="79" t="s">
        <v>222</v>
      </c>
      <c r="E44" s="82" t="s">
        <v>226</v>
      </c>
      <c r="F44" s="29">
        <f>(D26*(1+E11))*Q21</f>
        <v>11485.849325395864</v>
      </c>
      <c r="I44" s="82" t="s">
        <v>226</v>
      </c>
      <c r="J44" s="29">
        <f>(D26*(1+E11))*Q21</f>
        <v>11485.849325395864</v>
      </c>
      <c r="N44" s="82" t="s">
        <v>226</v>
      </c>
      <c r="O44" s="29">
        <f>(D26*(1+E11))*Q21</f>
        <v>11485.849325395864</v>
      </c>
    </row>
    <row r="45" spans="3:15" ht="18" customHeight="1" x14ac:dyDescent="0.35">
      <c r="D45" s="79"/>
      <c r="E45" s="82" t="s">
        <v>120</v>
      </c>
      <c r="F45" s="18">
        <f>F44/((1+E$9)^(C$26-E$8))</f>
        <v>8223.7027628238357</v>
      </c>
      <c r="I45" s="82" t="s">
        <v>120</v>
      </c>
      <c r="J45" s="18">
        <f>J44/((1+E$9)^(C$26-E$8))</f>
        <v>8223.7027628238357</v>
      </c>
      <c r="N45" s="82" t="s">
        <v>120</v>
      </c>
      <c r="O45" s="18">
        <f>O44/((1+E$9)^(C$26-E$8))</f>
        <v>8223.7027628238357</v>
      </c>
    </row>
    <row r="46" spans="3:15" ht="18" customHeight="1" x14ac:dyDescent="0.35">
      <c r="D46" s="79"/>
      <c r="E46" s="82" t="s">
        <v>228</v>
      </c>
      <c r="F46" s="29">
        <f>F45+F35</f>
        <v>10246.487540172709</v>
      </c>
      <c r="I46" s="82" t="s">
        <v>230</v>
      </c>
      <c r="J46" s="29">
        <f>J45+J35</f>
        <v>10086.716354774559</v>
      </c>
      <c r="N46" s="82" t="s">
        <v>230</v>
      </c>
      <c r="O46" s="29">
        <f>O45+O35</f>
        <v>10086.716354774559</v>
      </c>
    </row>
    <row r="47" spans="3:15" x14ac:dyDescent="0.25">
      <c r="E47" s="36"/>
      <c r="N47" s="36"/>
    </row>
    <row r="48" spans="3:15" x14ac:dyDescent="0.25">
      <c r="E48" s="36"/>
      <c r="N48" s="36"/>
    </row>
    <row r="49" spans="4:15" ht="18" customHeight="1" x14ac:dyDescent="0.35">
      <c r="D49" s="79" t="s">
        <v>223</v>
      </c>
      <c r="E49" s="82" t="s">
        <v>226</v>
      </c>
      <c r="F49" s="29">
        <f>(D26*(1+E11))*E14</f>
        <v>13988.952000000001</v>
      </c>
      <c r="H49" s="29"/>
      <c r="I49" s="82" t="s">
        <v>226</v>
      </c>
      <c r="J49" s="29">
        <f>(D26*(1+E11))*E14</f>
        <v>13988.952000000001</v>
      </c>
      <c r="N49" s="82" t="s">
        <v>226</v>
      </c>
      <c r="O49" s="29">
        <f>(D26*(1+E11))*$E$14</f>
        <v>13988.952000000001</v>
      </c>
    </row>
    <row r="50" spans="4:15" ht="18" x14ac:dyDescent="0.35">
      <c r="D50" s="79"/>
      <c r="E50" s="82" t="s">
        <v>120</v>
      </c>
      <c r="F50" s="18">
        <f>F49/((1+$E$9)^($C$26-$E$8))</f>
        <v>10015.888242330317</v>
      </c>
      <c r="H50" s="18"/>
      <c r="I50" s="82" t="s">
        <v>120</v>
      </c>
      <c r="J50" s="18">
        <f>J49/((1+$E$9)^($C$26-$E$8))</f>
        <v>10015.888242330317</v>
      </c>
      <c r="N50" s="82" t="s">
        <v>120</v>
      </c>
      <c r="O50" s="18">
        <f>O49/((1+$E$9)^($C$26-$E$8))</f>
        <v>10015.888242330317</v>
      </c>
    </row>
    <row r="51" spans="4:15" ht="18" x14ac:dyDescent="0.35">
      <c r="D51" s="79"/>
      <c r="E51" s="82" t="s">
        <v>228</v>
      </c>
      <c r="F51" s="29">
        <f>F38+F50</f>
        <v>12038.67301967919</v>
      </c>
      <c r="H51" s="29"/>
      <c r="I51" s="82" t="s">
        <v>230</v>
      </c>
      <c r="J51" s="29">
        <f>J38+J50</f>
        <v>11878.90183428104</v>
      </c>
      <c r="N51" s="82" t="s">
        <v>230</v>
      </c>
      <c r="O51" s="29">
        <f>O38+O50</f>
        <v>11878.90183428104</v>
      </c>
    </row>
    <row r="52" spans="4:15" x14ac:dyDescent="0.25">
      <c r="E52" s="36"/>
      <c r="N52" s="36"/>
    </row>
    <row r="53" spans="4:15" x14ac:dyDescent="0.25">
      <c r="E53" s="36"/>
      <c r="N53" s="36"/>
    </row>
    <row r="54" spans="4:15" ht="18" customHeight="1" x14ac:dyDescent="0.35">
      <c r="D54" s="79" t="s">
        <v>224</v>
      </c>
      <c r="E54" s="82" t="s">
        <v>226</v>
      </c>
      <c r="F54" s="29">
        <f>$D26*(1+$E$11)*$H$14</f>
        <v>3582.6461433558502</v>
      </c>
      <c r="H54" s="29"/>
      <c r="I54" s="82" t="s">
        <v>226</v>
      </c>
      <c r="J54" s="29">
        <f>$D26*(1+$E$11)*$H$14</f>
        <v>3582.6461433558502</v>
      </c>
      <c r="N54" s="82" t="s">
        <v>226</v>
      </c>
      <c r="O54" s="29">
        <f>$D26*(1+$E$11)*$H$14</f>
        <v>3582.6461433558502</v>
      </c>
    </row>
    <row r="55" spans="4:15" ht="18" x14ac:dyDescent="0.35">
      <c r="D55" s="79"/>
      <c r="E55" s="82" t="s">
        <v>120</v>
      </c>
      <c r="F55" s="18">
        <f>F54/((1+$E$9)^($C$26-$E$8))</f>
        <v>2565.1230616609387</v>
      </c>
      <c r="H55" s="18"/>
      <c r="I55" s="82" t="s">
        <v>120</v>
      </c>
      <c r="J55" s="18">
        <f>J54/((1+$E$9)^($C$26-$E$8))</f>
        <v>2565.1230616609387</v>
      </c>
      <c r="N55" s="82" t="s">
        <v>120</v>
      </c>
      <c r="O55" s="18">
        <f>O54/((1+$E$9)^($C$26-$E$8))</f>
        <v>2565.1230616609387</v>
      </c>
    </row>
    <row r="56" spans="4:15" ht="18" x14ac:dyDescent="0.35">
      <c r="D56" s="79"/>
      <c r="E56" s="82" t="s">
        <v>228</v>
      </c>
      <c r="F56" s="29">
        <f>F38+F55</f>
        <v>4587.907839009813</v>
      </c>
      <c r="H56" s="29"/>
      <c r="I56" s="82" t="s">
        <v>230</v>
      </c>
      <c r="J56" s="29">
        <f>J38+J55</f>
        <v>4428.136653611662</v>
      </c>
      <c r="N56" s="82" t="s">
        <v>230</v>
      </c>
      <c r="O56" s="29">
        <f>O38+O55</f>
        <v>4428.136653611662</v>
      </c>
    </row>
    <row r="60" spans="4:15" ht="17.25" x14ac:dyDescent="0.25">
      <c r="D60" s="68" t="s">
        <v>174</v>
      </c>
    </row>
    <row r="61" spans="4:15" ht="17.25" x14ac:dyDescent="0.25">
      <c r="D61" s="36" t="s">
        <v>175</v>
      </c>
    </row>
    <row r="62" spans="4:15" ht="17.25" x14ac:dyDescent="0.25">
      <c r="D62" s="36" t="s">
        <v>176</v>
      </c>
    </row>
    <row r="63" spans="4:15" ht="17.25" x14ac:dyDescent="0.25">
      <c r="D63" s="36" t="s">
        <v>177</v>
      </c>
    </row>
    <row r="64" spans="4:15" x14ac:dyDescent="0.25">
      <c r="D64" s="36" t="s">
        <v>178</v>
      </c>
    </row>
    <row r="65" spans="4:4" x14ac:dyDescent="0.25">
      <c r="D65" s="36" t="s">
        <v>179</v>
      </c>
    </row>
    <row r="66" spans="4:4" ht="17.25" x14ac:dyDescent="0.25">
      <c r="D66" s="75" t="s">
        <v>225</v>
      </c>
    </row>
    <row r="67" spans="4:4" ht="17.25" x14ac:dyDescent="0.25">
      <c r="D67" s="36" t="s">
        <v>180</v>
      </c>
    </row>
    <row r="68" spans="4:4" ht="17.25" x14ac:dyDescent="0.25">
      <c r="D68" s="69" t="s">
        <v>181</v>
      </c>
    </row>
    <row r="69" spans="4:4" ht="17.25" x14ac:dyDescent="0.25">
      <c r="D69" s="36" t="s">
        <v>182</v>
      </c>
    </row>
    <row r="70" spans="4:4" ht="17.25" x14ac:dyDescent="0.25">
      <c r="D70" s="36" t="s">
        <v>183</v>
      </c>
    </row>
    <row r="71" spans="4:4" ht="17.25" x14ac:dyDescent="0.25">
      <c r="D71" s="36" t="s">
        <v>184</v>
      </c>
    </row>
    <row r="72" spans="4:4" ht="17.25" x14ac:dyDescent="0.25">
      <c r="D72" s="36" t="s">
        <v>197</v>
      </c>
    </row>
    <row r="73" spans="4:4" ht="17.25" x14ac:dyDescent="0.25">
      <c r="D73" s="36" t="s">
        <v>185</v>
      </c>
    </row>
    <row r="74" spans="4:4" ht="17.25" x14ac:dyDescent="0.25">
      <c r="D74" t="s">
        <v>186</v>
      </c>
    </row>
    <row r="75" spans="4:4" ht="18.75" x14ac:dyDescent="0.35">
      <c r="D75" s="36" t="s">
        <v>187</v>
      </c>
    </row>
  </sheetData>
  <mergeCells count="13">
    <mergeCell ref="L11:N11"/>
    <mergeCell ref="L9:N9"/>
    <mergeCell ref="L12:N12"/>
    <mergeCell ref="K10:N10"/>
    <mergeCell ref="D44:D46"/>
    <mergeCell ref="D49:D51"/>
    <mergeCell ref="D54:D56"/>
    <mergeCell ref="H29:J29"/>
    <mergeCell ref="C29:F29"/>
    <mergeCell ref="C2:Q2"/>
    <mergeCell ref="C3:Q3"/>
    <mergeCell ref="C4:Q4"/>
    <mergeCell ref="M29:O29"/>
  </mergeCells>
  <pageMargins left="0.7" right="0.7" top="0.75" bottom="0.75" header="0.3" footer="0.3"/>
  <pageSetup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Y75"/>
  <sheetViews>
    <sheetView topLeftCell="A19" zoomScale="80" zoomScaleNormal="80" workbookViewId="0">
      <selection activeCell="AC49" sqref="AC49"/>
    </sheetView>
  </sheetViews>
  <sheetFormatPr defaultRowHeight="15" x14ac:dyDescent="0.25"/>
  <cols>
    <col min="4" max="4" width="9.28515625" bestFit="1" customWidth="1"/>
    <col min="5" max="5" width="13.28515625" bestFit="1" customWidth="1"/>
    <col min="6" max="6" width="11.28515625" bestFit="1" customWidth="1"/>
    <col min="7" max="7" width="12.140625" bestFit="1" customWidth="1"/>
    <col min="8" max="8" width="12.140625" customWidth="1"/>
    <col min="9" max="9" width="9.28515625" bestFit="1" customWidth="1"/>
    <col min="10" max="10" width="11.28515625" bestFit="1" customWidth="1"/>
    <col min="11" max="11" width="10.140625" bestFit="1" customWidth="1"/>
    <col min="12" max="12" width="11.28515625" bestFit="1" customWidth="1"/>
    <col min="13" max="13" width="10.140625" bestFit="1" customWidth="1"/>
    <col min="14" max="14" width="13.28515625" customWidth="1"/>
    <col min="15" max="16" width="11.28515625" bestFit="1" customWidth="1"/>
    <col min="17" max="17" width="11.5703125" bestFit="1" customWidth="1"/>
  </cols>
  <sheetData>
    <row r="2" spans="3:25" ht="23.25" x14ac:dyDescent="0.35">
      <c r="C2" s="78" t="s">
        <v>123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3:25" x14ac:dyDescent="0.25">
      <c r="C3" s="76" t="s">
        <v>125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</row>
    <row r="4" spans="3:25" x14ac:dyDescent="0.25">
      <c r="C4" s="76" t="s">
        <v>124</v>
      </c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</row>
    <row r="6" spans="3:25" x14ac:dyDescent="0.25">
      <c r="U6" s="71"/>
      <c r="V6" s="71"/>
      <c r="W6" s="71"/>
      <c r="X6" s="71"/>
      <c r="Y6" s="71"/>
    </row>
    <row r="7" spans="3:25" x14ac:dyDescent="0.25">
      <c r="U7" s="71"/>
      <c r="V7" s="71"/>
      <c r="W7" s="71"/>
      <c r="X7" s="71"/>
      <c r="Y7" s="71"/>
    </row>
    <row r="8" spans="3:25" ht="15" customHeight="1" x14ac:dyDescent="0.25">
      <c r="D8" s="3" t="s">
        <v>118</v>
      </c>
      <c r="E8">
        <f>O8</f>
        <v>2016</v>
      </c>
      <c r="L8" s="36"/>
      <c r="M8" s="36"/>
      <c r="N8" s="36"/>
      <c r="O8" s="66">
        <v>2016</v>
      </c>
      <c r="P8" s="66">
        <v>2015</v>
      </c>
      <c r="Q8" s="66">
        <v>2014</v>
      </c>
      <c r="U8" s="71"/>
      <c r="V8" s="71"/>
      <c r="W8" s="71"/>
      <c r="X8" s="71"/>
      <c r="Y8" s="71"/>
    </row>
    <row r="9" spans="3:25" ht="15" customHeight="1" x14ac:dyDescent="0.25">
      <c r="C9" s="26"/>
      <c r="D9" s="43" t="s">
        <v>166</v>
      </c>
      <c r="E9" s="7">
        <f>O15</f>
        <v>6.9101999999999997E-2</v>
      </c>
      <c r="G9" s="26"/>
      <c r="H9" s="26"/>
      <c r="I9" s="26"/>
      <c r="J9" s="26"/>
      <c r="K9" s="26"/>
      <c r="L9" s="80" t="s">
        <v>170</v>
      </c>
      <c r="M9" s="80"/>
      <c r="N9" s="80"/>
      <c r="O9">
        <v>30.76</v>
      </c>
      <c r="P9" s="37">
        <v>33.5</v>
      </c>
      <c r="Q9" s="37">
        <v>48.4</v>
      </c>
      <c r="U9" s="71"/>
      <c r="V9" s="71"/>
      <c r="W9" s="71"/>
      <c r="X9" s="71"/>
      <c r="Y9" s="71"/>
    </row>
    <row r="10" spans="3:25" ht="17.25" x14ac:dyDescent="0.25">
      <c r="C10" s="26"/>
      <c r="D10" s="44" t="s">
        <v>167</v>
      </c>
      <c r="E10" s="7">
        <f>(N21-N20+H21)/E21</f>
        <v>1.7842617152961981</v>
      </c>
      <c r="G10" s="26"/>
      <c r="H10" s="26"/>
      <c r="I10" s="26"/>
      <c r="J10" s="26"/>
      <c r="K10" s="80" t="s">
        <v>126</v>
      </c>
      <c r="L10" s="80"/>
      <c r="M10" s="80"/>
      <c r="N10" s="80"/>
      <c r="O10">
        <v>318.3</v>
      </c>
      <c r="P10" s="38">
        <v>358.5</v>
      </c>
      <c r="Q10" s="38">
        <v>367.8</v>
      </c>
      <c r="U10" s="71"/>
      <c r="V10" s="71"/>
      <c r="W10" s="71"/>
      <c r="X10" s="71"/>
      <c r="Y10" s="71"/>
    </row>
    <row r="11" spans="3:25" ht="17.25" x14ac:dyDescent="0.25">
      <c r="C11" s="26"/>
      <c r="D11" s="44" t="s">
        <v>168</v>
      </c>
      <c r="E11" s="74">
        <v>2.5000000000000001E-2</v>
      </c>
      <c r="J11" s="26"/>
      <c r="K11" s="26"/>
      <c r="L11" s="80" t="s">
        <v>127</v>
      </c>
      <c r="M11" s="80"/>
      <c r="N11" s="80"/>
      <c r="O11" s="37">
        <f>O9*O10</f>
        <v>9790.9080000000013</v>
      </c>
      <c r="P11" s="37">
        <f>P9*P10</f>
        <v>12009.75</v>
      </c>
      <c r="Q11" s="37">
        <f>Q9*Q10</f>
        <v>17801.52</v>
      </c>
      <c r="U11" s="71"/>
      <c r="V11" s="71"/>
      <c r="W11" s="71"/>
      <c r="X11" s="71"/>
      <c r="Y11" s="71"/>
    </row>
    <row r="12" spans="3:25" ht="18.75" x14ac:dyDescent="0.35">
      <c r="C12" s="26"/>
      <c r="D12" s="43" t="s">
        <v>169</v>
      </c>
      <c r="E12" s="7">
        <f>((D26-D19)/D19)/(C26-C19)</f>
        <v>-2.4166411746711532E-2</v>
      </c>
      <c r="G12" s="6"/>
      <c r="H12" s="6"/>
      <c r="I12" s="26"/>
      <c r="J12" s="26"/>
      <c r="K12" s="26"/>
      <c r="L12" s="81" t="s">
        <v>171</v>
      </c>
      <c r="M12" s="81"/>
      <c r="N12" s="81"/>
      <c r="O12" s="53">
        <v>1776</v>
      </c>
      <c r="P12" s="53">
        <v>720</v>
      </c>
      <c r="Q12" s="53">
        <v>674</v>
      </c>
      <c r="U12" s="71"/>
      <c r="V12" s="71"/>
      <c r="W12" s="71"/>
      <c r="X12" s="71"/>
      <c r="Y12" s="71"/>
    </row>
    <row r="13" spans="3:25" x14ac:dyDescent="0.25">
      <c r="C13" s="26"/>
      <c r="D13" s="3"/>
      <c r="E13" s="6"/>
      <c r="G13" s="6"/>
      <c r="H13" s="6"/>
      <c r="I13" s="26"/>
      <c r="J13" s="26"/>
      <c r="K13" s="26"/>
      <c r="L13" s="44"/>
      <c r="M13" s="44"/>
      <c r="N13" s="67" t="s">
        <v>172</v>
      </c>
      <c r="O13">
        <v>852</v>
      </c>
      <c r="P13">
        <v>519</v>
      </c>
      <c r="Q13">
        <v>852</v>
      </c>
      <c r="U13" s="42"/>
      <c r="V13" s="42"/>
      <c r="W13" s="42"/>
      <c r="X13" s="42"/>
      <c r="Y13" s="42"/>
    </row>
    <row r="14" spans="3:25" ht="18" x14ac:dyDescent="0.35">
      <c r="C14" s="26"/>
      <c r="D14" s="44" t="s">
        <v>121</v>
      </c>
      <c r="E14">
        <v>15</v>
      </c>
      <c r="G14" s="3" t="s">
        <v>122</v>
      </c>
      <c r="H14" s="18">
        <f>((1-E15)*(1-E11/O21))/(E9-E11)</f>
        <v>11.48070017415219</v>
      </c>
      <c r="J14" s="26"/>
      <c r="K14" s="26"/>
      <c r="L14" s="44"/>
      <c r="M14" s="44"/>
      <c r="N14" s="67" t="s">
        <v>173</v>
      </c>
      <c r="O14" s="70">
        <f>O$11+O$12-O$13</f>
        <v>10714.908000000001</v>
      </c>
      <c r="P14" s="70">
        <f t="shared" ref="P14:Q14" si="0">P$11+P$12-P$13</f>
        <v>12210.75</v>
      </c>
      <c r="Q14" s="70">
        <f t="shared" si="0"/>
        <v>17623.52</v>
      </c>
      <c r="U14" s="42"/>
      <c r="V14" s="42"/>
      <c r="W14" s="42"/>
      <c r="X14" s="42"/>
      <c r="Y14" s="42"/>
    </row>
    <row r="15" spans="3:25" ht="17.25" x14ac:dyDescent="0.25">
      <c r="C15" s="26"/>
      <c r="D15" s="3" t="s">
        <v>104</v>
      </c>
      <c r="E15" s="6">
        <v>0.35</v>
      </c>
      <c r="G15" s="6"/>
      <c r="H15" s="6"/>
      <c r="I15" s="26"/>
      <c r="J15" s="26"/>
      <c r="K15" s="26"/>
      <c r="L15" s="44"/>
      <c r="M15" s="44"/>
      <c r="N15" s="43" t="s">
        <v>166</v>
      </c>
      <c r="O15" s="7">
        <v>6.9101999999999997E-2</v>
      </c>
      <c r="P15" s="7">
        <v>8.1800999999999999E-2</v>
      </c>
      <c r="Q15" s="7">
        <v>9.6709000000000003E-2</v>
      </c>
      <c r="U15" s="42"/>
      <c r="V15" s="42"/>
      <c r="W15" s="42"/>
      <c r="X15" s="42"/>
      <c r="Y15" s="42"/>
    </row>
    <row r="16" spans="3:25" x14ac:dyDescent="0.25">
      <c r="C16" s="26"/>
      <c r="D16" s="3"/>
      <c r="E16" s="6"/>
      <c r="G16" s="6"/>
      <c r="H16" s="6"/>
      <c r="I16" s="26"/>
      <c r="J16" s="26"/>
      <c r="K16" s="26"/>
      <c r="L16" s="44"/>
      <c r="M16" s="44"/>
      <c r="N16" s="44"/>
      <c r="U16" s="42"/>
      <c r="V16" s="42"/>
      <c r="W16" s="42"/>
      <c r="X16" s="42"/>
      <c r="Y16" s="42"/>
    </row>
    <row r="17" spans="2:18" x14ac:dyDescent="0.25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2:18" ht="30" x14ac:dyDescent="0.25">
      <c r="C18" s="44" t="s">
        <v>111</v>
      </c>
      <c r="D18" s="20" t="s">
        <v>20</v>
      </c>
      <c r="E18" s="43" t="s">
        <v>190</v>
      </c>
      <c r="F18" s="72" t="s">
        <v>108</v>
      </c>
      <c r="G18" s="72" t="s">
        <v>93</v>
      </c>
      <c r="H18" s="72" t="s">
        <v>128</v>
      </c>
      <c r="I18" s="72" t="s">
        <v>191</v>
      </c>
      <c r="J18" s="72" t="s">
        <v>192</v>
      </c>
      <c r="K18" s="72" t="s">
        <v>95</v>
      </c>
      <c r="L18" s="72" t="s">
        <v>96</v>
      </c>
      <c r="M18" s="72" t="s">
        <v>97</v>
      </c>
      <c r="N18" s="72" t="s">
        <v>196</v>
      </c>
      <c r="O18" s="72" t="s">
        <v>193</v>
      </c>
      <c r="P18" s="72" t="s">
        <v>194</v>
      </c>
      <c r="Q18" s="72" t="s">
        <v>110</v>
      </c>
      <c r="R18" s="20"/>
    </row>
    <row r="19" spans="2:18" x14ac:dyDescent="0.25">
      <c r="C19" s="33">
        <v>2014</v>
      </c>
      <c r="D19" s="34">
        <v>934</v>
      </c>
      <c r="E19" s="35">
        <f t="shared" ref="E19:E26" si="1">D19*(1-$E$15)</f>
        <v>607.1</v>
      </c>
      <c r="F19" s="34">
        <v>946</v>
      </c>
      <c r="G19" s="34">
        <v>367</v>
      </c>
      <c r="H19" s="34">
        <v>410</v>
      </c>
      <c r="I19" s="34">
        <v>308</v>
      </c>
      <c r="J19" s="34">
        <v>0</v>
      </c>
      <c r="K19" s="34">
        <v>3988</v>
      </c>
      <c r="L19" s="34">
        <v>1756</v>
      </c>
      <c r="M19" s="34">
        <v>1257</v>
      </c>
      <c r="N19" s="28">
        <f t="shared" ref="N19:N20" si="2">K19+(L19-M19)</f>
        <v>4487</v>
      </c>
      <c r="O19" s="25">
        <f t="shared" ref="O19:O20" si="3">E19/N19</f>
        <v>0.13530198350791175</v>
      </c>
      <c r="P19" s="34">
        <f>Q14</f>
        <v>17623.52</v>
      </c>
      <c r="Q19" s="34">
        <f>P19/D19</f>
        <v>18.868865096359745</v>
      </c>
      <c r="R19" s="20"/>
    </row>
    <row r="20" spans="2:18" x14ac:dyDescent="0.25">
      <c r="C20" s="33">
        <v>2015</v>
      </c>
      <c r="D20" s="34">
        <v>861</v>
      </c>
      <c r="E20" s="35">
        <f t="shared" si="1"/>
        <v>559.65</v>
      </c>
      <c r="F20" s="34">
        <v>878</v>
      </c>
      <c r="G20" s="34">
        <v>342</v>
      </c>
      <c r="H20" s="34">
        <v>408</v>
      </c>
      <c r="I20" s="34">
        <v>223.3</v>
      </c>
      <c r="J20" s="34">
        <v>0</v>
      </c>
      <c r="K20" s="34">
        <v>4197</v>
      </c>
      <c r="L20" s="34">
        <v>1544</v>
      </c>
      <c r="M20" s="34">
        <v>1252</v>
      </c>
      <c r="N20" s="28">
        <f t="shared" si="2"/>
        <v>4489</v>
      </c>
      <c r="O20" s="25">
        <f t="shared" si="3"/>
        <v>0.12467141902428157</v>
      </c>
      <c r="P20" s="34">
        <f>P14</f>
        <v>12210.75</v>
      </c>
      <c r="Q20" s="34">
        <f>P20/D20</f>
        <v>14.182055749128919</v>
      </c>
      <c r="R20" s="20"/>
    </row>
    <row r="21" spans="2:18" x14ac:dyDescent="0.25">
      <c r="B21" s="32" t="s">
        <v>118</v>
      </c>
      <c r="C21" s="24">
        <v>2016</v>
      </c>
      <c r="D21" s="73">
        <v>870</v>
      </c>
      <c r="E21" s="27">
        <f t="shared" si="1"/>
        <v>565.5</v>
      </c>
      <c r="F21" s="73">
        <v>827</v>
      </c>
      <c r="G21" s="73">
        <v>320</v>
      </c>
      <c r="H21" s="28">
        <v>498</v>
      </c>
      <c r="I21" s="28">
        <v>401.99799999999999</v>
      </c>
      <c r="J21" s="28">
        <v>30</v>
      </c>
      <c r="K21" s="28">
        <v>4366</v>
      </c>
      <c r="L21" s="28">
        <v>1975</v>
      </c>
      <c r="M21" s="28">
        <v>1341</v>
      </c>
      <c r="N21" s="28">
        <f>K21+(L21-M21)</f>
        <v>5000</v>
      </c>
      <c r="O21" s="25">
        <f>E21/N21</f>
        <v>0.11310000000000001</v>
      </c>
      <c r="P21" s="28">
        <f>O14</f>
        <v>10714.908000000001</v>
      </c>
      <c r="Q21" s="15">
        <f>P21/D21</f>
        <v>12.315986206896554</v>
      </c>
    </row>
    <row r="22" spans="2:18" x14ac:dyDescent="0.25">
      <c r="B22">
        <v>1</v>
      </c>
      <c r="C22" s="24">
        <f t="shared" ref="C22:C25" si="4">C21+1</f>
        <v>2017</v>
      </c>
      <c r="D22" s="73">
        <v>735.69600000000003</v>
      </c>
      <c r="E22" s="27">
        <f t="shared" si="1"/>
        <v>478.20240000000001</v>
      </c>
      <c r="F22" s="73">
        <v>690.08399999999995</v>
      </c>
      <c r="G22" s="73">
        <v>267.03800000000001</v>
      </c>
      <c r="H22" s="28">
        <v>562.25400000000002</v>
      </c>
      <c r="I22" s="28">
        <v>408.09100000000001</v>
      </c>
      <c r="J22" s="28">
        <v>45.61200000000008</v>
      </c>
      <c r="K22" s="28">
        <v>4473.25</v>
      </c>
      <c r="L22" s="28">
        <v>2166.17</v>
      </c>
      <c r="M22" s="28">
        <v>1359.9</v>
      </c>
      <c r="N22" s="28">
        <f t="shared" ref="N22:N26" si="5">K22+(L22-M22)</f>
        <v>5279.52</v>
      </c>
      <c r="O22" s="25">
        <f t="shared" ref="O22:O26" si="6">E22/N22</f>
        <v>9.0576870624602235E-2</v>
      </c>
      <c r="P22" s="28">
        <v>11147.080148999999</v>
      </c>
      <c r="Q22" s="15">
        <f t="shared" ref="Q22:Q26" si="7">P22/D22</f>
        <v>15.151747663437071</v>
      </c>
    </row>
    <row r="23" spans="2:18" x14ac:dyDescent="0.25">
      <c r="B23">
        <v>2</v>
      </c>
      <c r="C23" s="24">
        <f t="shared" si="4"/>
        <v>2018</v>
      </c>
      <c r="D23" s="73">
        <v>727.01400000000001</v>
      </c>
      <c r="E23" s="27">
        <f t="shared" si="1"/>
        <v>472.5591</v>
      </c>
      <c r="F23" s="73">
        <v>682.37400000000002</v>
      </c>
      <c r="G23" s="73">
        <v>268.75400000000002</v>
      </c>
      <c r="H23" s="28">
        <v>603.30599999999993</v>
      </c>
      <c r="I23" s="28">
        <v>423.32499999999999</v>
      </c>
      <c r="J23" s="28">
        <v>44.639999999999986</v>
      </c>
      <c r="K23" s="28">
        <v>4622.9799999999996</v>
      </c>
      <c r="L23" s="28">
        <v>2393.4</v>
      </c>
      <c r="M23" s="28">
        <v>1439.9</v>
      </c>
      <c r="N23" s="28">
        <f t="shared" si="5"/>
        <v>5576.48</v>
      </c>
      <c r="O23" s="25">
        <f t="shared" si="6"/>
        <v>8.4741467735919437E-2</v>
      </c>
      <c r="P23" s="28">
        <v>11051.433851999998</v>
      </c>
      <c r="Q23" s="15">
        <f t="shared" si="7"/>
        <v>15.201129348265644</v>
      </c>
    </row>
    <row r="24" spans="2:18" x14ac:dyDescent="0.25">
      <c r="B24">
        <v>3</v>
      </c>
      <c r="C24" s="24">
        <f t="shared" si="4"/>
        <v>2019</v>
      </c>
      <c r="D24" s="73">
        <v>735.03399999999999</v>
      </c>
      <c r="E24" s="27">
        <f t="shared" si="1"/>
        <v>477.77210000000002</v>
      </c>
      <c r="F24" s="73">
        <v>681.90899999999999</v>
      </c>
      <c r="G24" s="73">
        <v>283.89999999999998</v>
      </c>
      <c r="H24" s="28">
        <v>548.75599999999997</v>
      </c>
      <c r="I24" s="28">
        <v>469.76600000000002</v>
      </c>
      <c r="J24" s="28">
        <v>53.125</v>
      </c>
      <c r="K24" s="28">
        <v>4733.07</v>
      </c>
      <c r="L24" s="28">
        <v>2129.5</v>
      </c>
      <c r="M24" s="28">
        <v>1426.27</v>
      </c>
      <c r="N24" s="28">
        <f t="shared" si="5"/>
        <v>5436.2999999999993</v>
      </c>
      <c r="O24" s="25">
        <f t="shared" si="6"/>
        <v>8.7885528760370119E-2</v>
      </c>
      <c r="P24" s="41">
        <v>11193.673119599998</v>
      </c>
      <c r="Q24" s="15">
        <f t="shared" si="7"/>
        <v>15.228782776851137</v>
      </c>
    </row>
    <row r="25" spans="2:18" x14ac:dyDescent="0.25">
      <c r="B25">
        <v>4</v>
      </c>
      <c r="C25" s="24">
        <f t="shared" si="4"/>
        <v>2020</v>
      </c>
      <c r="D25" s="73">
        <v>823.86699999999996</v>
      </c>
      <c r="E25" s="27">
        <f t="shared" si="1"/>
        <v>535.51355000000001</v>
      </c>
      <c r="F25" s="73">
        <v>762.85</v>
      </c>
      <c r="G25" s="73">
        <v>299.66699999999997</v>
      </c>
      <c r="H25" s="28">
        <v>684.76300000000015</v>
      </c>
      <c r="I25" s="28">
        <v>496.19</v>
      </c>
      <c r="J25" s="28">
        <v>61.016999999999939</v>
      </c>
      <c r="K25" s="28">
        <v>4704.8</v>
      </c>
      <c r="L25" s="28">
        <v>2592</v>
      </c>
      <c r="M25" s="28">
        <v>1520.2</v>
      </c>
      <c r="N25" s="28">
        <f t="shared" si="5"/>
        <v>5776.6</v>
      </c>
      <c r="O25" s="25">
        <f t="shared" si="6"/>
        <v>9.2703934840563648E-2</v>
      </c>
      <c r="P25" s="41">
        <f>P24*(1+0.001743)</f>
        <v>11213.183691847462</v>
      </c>
      <c r="Q25" s="15">
        <f t="shared" si="7"/>
        <v>13.610429464764898</v>
      </c>
    </row>
    <row r="26" spans="2:18" x14ac:dyDescent="0.25">
      <c r="B26" s="44">
        <v>5</v>
      </c>
      <c r="C26">
        <v>2021</v>
      </c>
      <c r="D26" s="73">
        <v>776</v>
      </c>
      <c r="E26" s="27">
        <f t="shared" si="1"/>
        <v>504.40000000000003</v>
      </c>
      <c r="F26" s="73">
        <v>680</v>
      </c>
      <c r="G26" s="73">
        <v>265</v>
      </c>
      <c r="H26" s="18">
        <v>688</v>
      </c>
      <c r="I26" s="18">
        <f>I25*(1+E12)</f>
        <v>484.19886815539923</v>
      </c>
      <c r="J26" s="18">
        <v>96</v>
      </c>
      <c r="K26" s="18">
        <v>4640</v>
      </c>
      <c r="L26" s="18">
        <v>2442</v>
      </c>
      <c r="M26" s="18">
        <v>1572</v>
      </c>
      <c r="N26" s="28">
        <f t="shared" si="5"/>
        <v>5510</v>
      </c>
      <c r="O26" s="25">
        <f t="shared" si="6"/>
        <v>9.1542649727767697E-2</v>
      </c>
      <c r="P26" s="41">
        <f>P25*(1+0.001743)</f>
        <v>11232.728271022352</v>
      </c>
      <c r="Q26" s="15">
        <f t="shared" si="7"/>
        <v>14.475165297709216</v>
      </c>
    </row>
    <row r="27" spans="2:18" x14ac:dyDescent="0.25">
      <c r="B27" s="44"/>
      <c r="D27" s="31"/>
      <c r="E27" s="27"/>
      <c r="G27" s="31"/>
      <c r="H27" s="31"/>
      <c r="I27" s="31"/>
    </row>
    <row r="29" spans="2:18" ht="18" x14ac:dyDescent="0.35">
      <c r="C29" s="83" t="s">
        <v>227</v>
      </c>
      <c r="D29" s="83"/>
      <c r="E29" s="83"/>
      <c r="F29" s="83"/>
      <c r="H29" s="83" t="s">
        <v>232</v>
      </c>
      <c r="I29" s="83"/>
      <c r="J29" s="83"/>
      <c r="L29" s="83" t="s">
        <v>231</v>
      </c>
      <c r="M29" s="83"/>
      <c r="N29" s="83"/>
    </row>
    <row r="30" spans="2:18" ht="18" x14ac:dyDescent="0.35">
      <c r="D30" s="44" t="s">
        <v>109</v>
      </c>
      <c r="E30" s="44" t="s">
        <v>112</v>
      </c>
      <c r="F30" s="30" t="s">
        <v>113</v>
      </c>
      <c r="H30" s="43" t="s">
        <v>94</v>
      </c>
      <c r="I30" s="43" t="s">
        <v>233</v>
      </c>
      <c r="J30" s="84" t="s">
        <v>115</v>
      </c>
      <c r="L30" s="30" t="s">
        <v>94</v>
      </c>
      <c r="M30" s="30" t="s">
        <v>116</v>
      </c>
      <c r="N30" s="30" t="s">
        <v>115</v>
      </c>
    </row>
    <row r="31" spans="2:18" x14ac:dyDescent="0.25">
      <c r="C31">
        <v>2017</v>
      </c>
      <c r="D31" s="18">
        <f>E22</f>
        <v>478.20240000000001</v>
      </c>
      <c r="E31" s="18">
        <f>D31/((1+$E$9)^(C22-$E$8))</f>
        <v>447.29352297535689</v>
      </c>
      <c r="F31" s="18">
        <f>E31</f>
        <v>447.29352297535689</v>
      </c>
      <c r="H31" s="29">
        <f>I22</f>
        <v>408.09100000000001</v>
      </c>
      <c r="I31" s="18">
        <f>H31/((1+$E$9)^(C22-$E$8))</f>
        <v>381.71381215262903</v>
      </c>
      <c r="J31" s="18">
        <f>I31</f>
        <v>381.71381215262903</v>
      </c>
      <c r="L31" s="18">
        <f>I22</f>
        <v>408.09100000000001</v>
      </c>
      <c r="M31" s="18">
        <f>L31/((1+$E$9)^(C22-$E$8))</f>
        <v>381.71381215262903</v>
      </c>
      <c r="N31" s="18">
        <f>M31</f>
        <v>381.71381215262903</v>
      </c>
    </row>
    <row r="32" spans="2:18" x14ac:dyDescent="0.25">
      <c r="C32">
        <f>C31+1</f>
        <v>2018</v>
      </c>
      <c r="D32" s="18">
        <f>E23</f>
        <v>472.5591</v>
      </c>
      <c r="E32" s="18">
        <f>D32/((1+$E$9)^(C23-$E$8))</f>
        <v>413.44509765856577</v>
      </c>
      <c r="F32" s="18">
        <f>F31+E32</f>
        <v>860.73862063392266</v>
      </c>
      <c r="H32" s="29">
        <f t="shared" ref="H32:H35" si="8">I23</f>
        <v>423.32499999999999</v>
      </c>
      <c r="I32" s="18">
        <f t="shared" ref="I32:I34" si="9">H32/((1+$E$9)^(C23-$E$8))</f>
        <v>370.36985631281323</v>
      </c>
      <c r="J32" s="18">
        <f>J31+I32</f>
        <v>752.08366846544232</v>
      </c>
      <c r="L32" s="18">
        <f>I23</f>
        <v>423.32499999999999</v>
      </c>
      <c r="M32" s="18">
        <f>L32/((1+$E$9)^(C23-$E$8))</f>
        <v>370.36985631281323</v>
      </c>
      <c r="N32" s="18">
        <f>N31+M32</f>
        <v>752.08366846544232</v>
      </c>
    </row>
    <row r="33" spans="3:14" x14ac:dyDescent="0.25">
      <c r="C33">
        <f t="shared" ref="C33:C35" si="10">C32+1</f>
        <v>2019</v>
      </c>
      <c r="D33" s="18">
        <f>E24</f>
        <v>477.77210000000002</v>
      </c>
      <c r="E33" s="18">
        <f>D33/((1+$E$9)^(C24-$E$8))</f>
        <v>390.9879375485466</v>
      </c>
      <c r="F33" s="18">
        <f t="shared" ref="F33:F35" si="11">F32+E33</f>
        <v>1251.7265581824693</v>
      </c>
      <c r="H33" s="29">
        <f t="shared" si="8"/>
        <v>469.76600000000002</v>
      </c>
      <c r="I33" s="18">
        <f t="shared" si="9"/>
        <v>384.4360930042389</v>
      </c>
      <c r="J33" s="18">
        <f t="shared" ref="J33:J35" si="12">J32+I33</f>
        <v>1136.5197614696813</v>
      </c>
      <c r="L33" s="18">
        <f>I24</f>
        <v>469.76600000000002</v>
      </c>
      <c r="M33" s="18">
        <f>L33/((1+$E$9)^(C24-$E$8))</f>
        <v>384.4360930042389</v>
      </c>
      <c r="N33" s="18">
        <f t="shared" ref="N33:N35" si="13">N32+M33</f>
        <v>1136.5197614696813</v>
      </c>
    </row>
    <row r="34" spans="3:14" x14ac:dyDescent="0.25">
      <c r="C34">
        <f t="shared" si="10"/>
        <v>2020</v>
      </c>
      <c r="D34" s="18">
        <f>E25</f>
        <v>535.51355000000001</v>
      </c>
      <c r="E34" s="18">
        <f>D34/((1+$E$9)^(C25-$E$8))</f>
        <v>409.9150806788748</v>
      </c>
      <c r="F34" s="18">
        <f t="shared" si="11"/>
        <v>1661.6416388613441</v>
      </c>
      <c r="H34" s="29">
        <f t="shared" si="8"/>
        <v>496.19</v>
      </c>
      <c r="I34" s="18">
        <f t="shared" si="9"/>
        <v>379.81441157194041</v>
      </c>
      <c r="J34" s="18">
        <f t="shared" si="12"/>
        <v>1516.3341730416216</v>
      </c>
      <c r="L34" s="18">
        <f>I25</f>
        <v>496.19</v>
      </c>
      <c r="M34" s="18">
        <f>L34/((1+$E$9)^(C25-$E$8))</f>
        <v>379.81441157194041</v>
      </c>
      <c r="N34" s="18">
        <f t="shared" si="13"/>
        <v>1516.3341730416216</v>
      </c>
    </row>
    <row r="35" spans="3:14" x14ac:dyDescent="0.25">
      <c r="C35">
        <f t="shared" si="10"/>
        <v>2021</v>
      </c>
      <c r="D35" s="18">
        <f>E26</f>
        <v>504.40000000000003</v>
      </c>
      <c r="E35" s="18">
        <f>D35/((1+$E$9)^(C26-$E$8))</f>
        <v>361.14313848753011</v>
      </c>
      <c r="F35" s="18">
        <f t="shared" si="11"/>
        <v>2022.7847773488743</v>
      </c>
      <c r="H35" s="29">
        <f t="shared" si="8"/>
        <v>484.19886815539923</v>
      </c>
      <c r="I35" s="18">
        <f>H35/((1+$E$9)^(C26-$E$8))</f>
        <v>346.67941890910123</v>
      </c>
      <c r="J35" s="18">
        <f t="shared" si="12"/>
        <v>1863.0135919507229</v>
      </c>
      <c r="L35" s="18">
        <f>I26</f>
        <v>484.19886815539923</v>
      </c>
      <c r="M35" s="18">
        <f>L35/((1+$E$9)^(C26-$E$8))</f>
        <v>346.67941890910123</v>
      </c>
      <c r="N35" s="18">
        <f t="shared" si="13"/>
        <v>1863.0135919507229</v>
      </c>
    </row>
    <row r="36" spans="3:14" x14ac:dyDescent="0.25">
      <c r="D36" s="29"/>
      <c r="E36" s="15"/>
      <c r="F36" s="15"/>
      <c r="H36" s="15"/>
      <c r="L36" s="29"/>
      <c r="M36" s="15"/>
      <c r="N36" s="15"/>
    </row>
    <row r="37" spans="3:14" x14ac:dyDescent="0.25">
      <c r="D37" s="29"/>
    </row>
    <row r="38" spans="3:14" ht="18" x14ac:dyDescent="0.35">
      <c r="E38" s="82" t="s">
        <v>114</v>
      </c>
      <c r="F38" s="18">
        <f>F35</f>
        <v>2022.7847773488743</v>
      </c>
      <c r="H38" s="18"/>
      <c r="I38" s="82" t="s">
        <v>117</v>
      </c>
      <c r="J38" s="29">
        <f>J35</f>
        <v>1863.0135919507229</v>
      </c>
      <c r="M38" s="82" t="s">
        <v>117</v>
      </c>
      <c r="N38" s="18">
        <f>N35</f>
        <v>1863.0135919507229</v>
      </c>
    </row>
    <row r="39" spans="3:14" ht="18" x14ac:dyDescent="0.35">
      <c r="E39" s="82" t="s">
        <v>119</v>
      </c>
      <c r="F39" s="18">
        <f>((D35*(1+E11))*(1-E11/O21))/(E9-E11)</f>
        <v>9131.7489185206505</v>
      </c>
      <c r="H39" s="18"/>
      <c r="I39" s="82" t="s">
        <v>119</v>
      </c>
      <c r="J39" s="18">
        <f>((E26*(1+E11))*(1-E11/O21))/(E9-E11)</f>
        <v>9131.7489185206505</v>
      </c>
      <c r="M39" s="82" t="s">
        <v>229</v>
      </c>
      <c r="N39" s="18">
        <f>(D26*(1+E11))/(E9-E11)</f>
        <v>18035.463244297312</v>
      </c>
    </row>
    <row r="40" spans="3:14" ht="18" x14ac:dyDescent="0.35">
      <c r="E40" s="82" t="s">
        <v>120</v>
      </c>
      <c r="F40" s="18">
        <f>F39/((1+E$9)^(C$26-E$8))</f>
        <v>6538.2007619243786</v>
      </c>
      <c r="H40" s="18"/>
      <c r="I40" s="82" t="s">
        <v>120</v>
      </c>
      <c r="J40" s="18">
        <f>J39/((1+E$9)^(C$26-E$8))</f>
        <v>6538.2007619243786</v>
      </c>
      <c r="M40" s="82" t="s">
        <v>120</v>
      </c>
      <c r="N40" s="18">
        <f>N39/((1+E9)^(C26-E8))</f>
        <v>12913.132038306945</v>
      </c>
    </row>
    <row r="41" spans="3:14" ht="18" x14ac:dyDescent="0.35">
      <c r="E41" s="82" t="s">
        <v>227</v>
      </c>
      <c r="F41" s="18">
        <f>F38+F40</f>
        <v>8560.9855392732534</v>
      </c>
      <c r="H41" s="18"/>
      <c r="I41" s="82" t="s">
        <v>232</v>
      </c>
      <c r="J41" s="18">
        <f>J38+J40</f>
        <v>8401.2143538751006</v>
      </c>
      <c r="M41" s="82" t="s">
        <v>79</v>
      </c>
      <c r="N41" s="18">
        <f>N38+N40</f>
        <v>14776.145630257668</v>
      </c>
    </row>
    <row r="42" spans="3:14" x14ac:dyDescent="0.25">
      <c r="E42" s="36"/>
      <c r="M42" s="82"/>
    </row>
    <row r="43" spans="3:14" x14ac:dyDescent="0.25">
      <c r="E43" s="36"/>
      <c r="M43" s="82"/>
    </row>
    <row r="44" spans="3:14" ht="18" customHeight="1" x14ac:dyDescent="0.35">
      <c r="D44" s="79" t="s">
        <v>222</v>
      </c>
      <c r="E44" s="82" t="s">
        <v>226</v>
      </c>
      <c r="F44" s="29">
        <f>(D26*(1+E11))*Q21</f>
        <v>9796.1354289655192</v>
      </c>
      <c r="I44" s="82" t="s">
        <v>226</v>
      </c>
      <c r="J44" s="29">
        <f>(D26*(1+E11))*Q21</f>
        <v>9796.1354289655192</v>
      </c>
      <c r="M44" s="82" t="s">
        <v>226</v>
      </c>
      <c r="N44" s="29">
        <f>(D26*(1+E11))*Q21</f>
        <v>9796.1354289655192</v>
      </c>
    </row>
    <row r="45" spans="3:14" ht="18" customHeight="1" x14ac:dyDescent="0.35">
      <c r="D45" s="79"/>
      <c r="E45" s="82" t="s">
        <v>120</v>
      </c>
      <c r="F45" s="18">
        <f>F44/((1+E$9)^(C$26-E$8))</f>
        <v>7013.8919386706866</v>
      </c>
      <c r="I45" s="82" t="s">
        <v>120</v>
      </c>
      <c r="J45" s="18">
        <f>J44/((1+E$9)^(C$26-E$8))</f>
        <v>7013.8919386706866</v>
      </c>
      <c r="M45" s="82" t="s">
        <v>120</v>
      </c>
      <c r="N45" s="18">
        <f>N44/((1+E$9)^(C$26-E$8))</f>
        <v>7013.8919386706866</v>
      </c>
    </row>
    <row r="46" spans="3:14" ht="18" customHeight="1" x14ac:dyDescent="0.35">
      <c r="D46" s="79"/>
      <c r="E46" s="82" t="s">
        <v>228</v>
      </c>
      <c r="F46" s="29">
        <f>F45+F35</f>
        <v>9036.6767160195614</v>
      </c>
      <c r="I46" s="82" t="s">
        <v>230</v>
      </c>
      <c r="J46" s="29">
        <f>J45+J35</f>
        <v>8876.9055306214104</v>
      </c>
      <c r="M46" s="82" t="s">
        <v>230</v>
      </c>
      <c r="N46" s="29">
        <f>N45+N35</f>
        <v>8876.9055306214104</v>
      </c>
    </row>
    <row r="47" spans="3:14" x14ac:dyDescent="0.25">
      <c r="E47" s="36"/>
      <c r="M47" s="36"/>
    </row>
    <row r="48" spans="3:14" x14ac:dyDescent="0.25">
      <c r="E48" s="36"/>
      <c r="M48" s="36"/>
    </row>
    <row r="49" spans="4:14" ht="18" customHeight="1" x14ac:dyDescent="0.35">
      <c r="D49" s="79" t="s">
        <v>223</v>
      </c>
      <c r="E49" s="82" t="s">
        <v>226</v>
      </c>
      <c r="F49" s="29">
        <f>(D26*(1+E11))*E14</f>
        <v>11931</v>
      </c>
      <c r="H49" s="29"/>
      <c r="I49" s="82" t="s">
        <v>226</v>
      </c>
      <c r="J49" s="29">
        <f>(D26*(1+E11))*E14</f>
        <v>11931</v>
      </c>
      <c r="M49" s="82" t="s">
        <v>226</v>
      </c>
      <c r="N49" s="29">
        <f>(D26*(1+E11))*$E$14</f>
        <v>11931</v>
      </c>
    </row>
    <row r="50" spans="4:14" ht="18" x14ac:dyDescent="0.35">
      <c r="D50" s="79"/>
      <c r="E50" s="82" t="s">
        <v>120</v>
      </c>
      <c r="F50" s="18">
        <f>F49/((1+$E$9)^($C$26-$E$8))</f>
        <v>8542.424237301193</v>
      </c>
      <c r="H50" s="18"/>
      <c r="I50" s="82" t="s">
        <v>120</v>
      </c>
      <c r="J50" s="18">
        <f>J49/((1+$E$9)^($C$26-$E$8))</f>
        <v>8542.424237301193</v>
      </c>
      <c r="M50" s="82" t="s">
        <v>120</v>
      </c>
      <c r="N50" s="18">
        <f>N49/((1+$E$9)^($C$26-$E$8))</f>
        <v>8542.424237301193</v>
      </c>
    </row>
    <row r="51" spans="4:14" ht="18" x14ac:dyDescent="0.35">
      <c r="D51" s="79"/>
      <c r="E51" s="82" t="s">
        <v>228</v>
      </c>
      <c r="F51" s="29">
        <f>F38+F50</f>
        <v>10565.209014650067</v>
      </c>
      <c r="H51" s="29"/>
      <c r="I51" s="82" t="s">
        <v>230</v>
      </c>
      <c r="J51" s="29">
        <f>J38+J50</f>
        <v>10405.437829251916</v>
      </c>
      <c r="M51" s="82" t="s">
        <v>230</v>
      </c>
      <c r="N51" s="29">
        <f>N38+N50</f>
        <v>10405.437829251916</v>
      </c>
    </row>
    <row r="52" spans="4:14" x14ac:dyDescent="0.25">
      <c r="E52" s="36"/>
      <c r="M52" s="36"/>
    </row>
    <row r="53" spans="4:14" x14ac:dyDescent="0.25">
      <c r="E53" s="36"/>
      <c r="M53" s="36"/>
    </row>
    <row r="54" spans="4:14" ht="18" customHeight="1" x14ac:dyDescent="0.35">
      <c r="D54" s="79" t="s">
        <v>224</v>
      </c>
      <c r="E54" s="82" t="s">
        <v>226</v>
      </c>
      <c r="F54" s="29">
        <f>$D26*(1+$E$11)*$H$14</f>
        <v>9131.7489185206523</v>
      </c>
      <c r="H54" s="29"/>
      <c r="I54" s="82" t="s">
        <v>226</v>
      </c>
      <c r="J54" s="29">
        <f>$D26*(1+$E$11)*$H$14</f>
        <v>9131.7489185206523</v>
      </c>
      <c r="M54" s="82" t="s">
        <v>226</v>
      </c>
      <c r="N54" s="29">
        <f>$D26*(1+$E$11)*$H$14</f>
        <v>9131.7489185206523</v>
      </c>
    </row>
    <row r="55" spans="4:14" ht="18" x14ac:dyDescent="0.35">
      <c r="D55" s="79"/>
      <c r="E55" s="82" t="s">
        <v>120</v>
      </c>
      <c r="F55" s="18">
        <f>F54/((1+$E$9)^($C$26-$E$8))</f>
        <v>6538.2007619243795</v>
      </c>
      <c r="H55" s="18"/>
      <c r="I55" s="82" t="s">
        <v>120</v>
      </c>
      <c r="J55" s="18">
        <f>J54/((1+$E$9)^($C$26-$E$8))</f>
        <v>6538.2007619243795</v>
      </c>
      <c r="M55" s="82" t="s">
        <v>120</v>
      </c>
      <c r="N55" s="18">
        <f>N54/((1+$E$9)^($C$26-$E$8))</f>
        <v>6538.2007619243795</v>
      </c>
    </row>
    <row r="56" spans="4:14" ht="18" x14ac:dyDescent="0.35">
      <c r="D56" s="79"/>
      <c r="E56" s="82" t="s">
        <v>228</v>
      </c>
      <c r="F56" s="29">
        <f>F38+F55</f>
        <v>8560.9855392732534</v>
      </c>
      <c r="H56" s="29"/>
      <c r="I56" s="82" t="s">
        <v>230</v>
      </c>
      <c r="J56" s="29">
        <f>J38+J55</f>
        <v>8401.2143538751025</v>
      </c>
      <c r="M56" s="82" t="s">
        <v>230</v>
      </c>
      <c r="N56" s="29">
        <f>N38+N55</f>
        <v>8401.2143538751025</v>
      </c>
    </row>
    <row r="60" spans="4:14" ht="17.25" x14ac:dyDescent="0.25">
      <c r="D60" s="68" t="s">
        <v>174</v>
      </c>
    </row>
    <row r="61" spans="4:14" ht="17.25" x14ac:dyDescent="0.25">
      <c r="D61" s="36" t="s">
        <v>175</v>
      </c>
    </row>
    <row r="62" spans="4:14" ht="17.25" x14ac:dyDescent="0.25">
      <c r="D62" s="36" t="s">
        <v>176</v>
      </c>
    </row>
    <row r="63" spans="4:14" ht="17.25" x14ac:dyDescent="0.25">
      <c r="D63" s="36" t="s">
        <v>177</v>
      </c>
    </row>
    <row r="64" spans="4:14" x14ac:dyDescent="0.25">
      <c r="D64" s="36" t="s">
        <v>178</v>
      </c>
    </row>
    <row r="65" spans="4:4" x14ac:dyDescent="0.25">
      <c r="D65" s="36" t="s">
        <v>179</v>
      </c>
    </row>
    <row r="66" spans="4:4" ht="17.25" x14ac:dyDescent="0.25">
      <c r="D66" s="75" t="s">
        <v>225</v>
      </c>
    </row>
    <row r="67" spans="4:4" ht="17.25" x14ac:dyDescent="0.25">
      <c r="D67" s="36" t="s">
        <v>180</v>
      </c>
    </row>
    <row r="68" spans="4:4" ht="17.25" x14ac:dyDescent="0.25">
      <c r="D68" s="69" t="s">
        <v>181</v>
      </c>
    </row>
    <row r="69" spans="4:4" ht="17.25" x14ac:dyDescent="0.25">
      <c r="D69" s="36" t="s">
        <v>182</v>
      </c>
    </row>
    <row r="70" spans="4:4" ht="17.25" x14ac:dyDescent="0.25">
      <c r="D70" s="36" t="s">
        <v>183</v>
      </c>
    </row>
    <row r="71" spans="4:4" ht="17.25" x14ac:dyDescent="0.25">
      <c r="D71" s="36" t="s">
        <v>184</v>
      </c>
    </row>
    <row r="72" spans="4:4" ht="17.25" x14ac:dyDescent="0.25">
      <c r="D72" s="36" t="s">
        <v>197</v>
      </c>
    </row>
    <row r="73" spans="4:4" ht="17.25" x14ac:dyDescent="0.25">
      <c r="D73" s="36" t="s">
        <v>185</v>
      </c>
    </row>
    <row r="74" spans="4:4" ht="17.25" x14ac:dyDescent="0.25">
      <c r="D74" t="s">
        <v>234</v>
      </c>
    </row>
    <row r="75" spans="4:4" ht="18.75" x14ac:dyDescent="0.35">
      <c r="D75" s="36" t="s">
        <v>187</v>
      </c>
    </row>
  </sheetData>
  <mergeCells count="13">
    <mergeCell ref="D54:D56"/>
    <mergeCell ref="L29:N29"/>
    <mergeCell ref="L12:N12"/>
    <mergeCell ref="C29:F29"/>
    <mergeCell ref="H29:J29"/>
    <mergeCell ref="D44:D46"/>
    <mergeCell ref="D49:D51"/>
    <mergeCell ref="C2:Q2"/>
    <mergeCell ref="C3:Q3"/>
    <mergeCell ref="C4:Q4"/>
    <mergeCell ref="L9:N9"/>
    <mergeCell ref="K10:N10"/>
    <mergeCell ref="L11:N11"/>
  </mergeCells>
  <pageMargins left="0.7" right="0.7" top="0.75" bottom="0.75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Financial Stmts</vt:lpstr>
      <vt:lpstr>Concensus Estimates</vt:lpstr>
      <vt:lpstr>Tax Estimator</vt:lpstr>
      <vt:lpstr>Valuation g = IR x ROIC</vt:lpstr>
      <vt:lpstr>Valuation g = % ∆ GDP</vt:lpstr>
    </vt:vector>
  </TitlesOfParts>
  <Company>Westminster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Anyone</dc:creator>
  <cp:lastModifiedBy>Anyone</cp:lastModifiedBy>
  <cp:lastPrinted>2016-11-14T16:16:28Z</cp:lastPrinted>
  <dcterms:created xsi:type="dcterms:W3CDTF">2016-11-10T18:34:35Z</dcterms:created>
  <dcterms:modified xsi:type="dcterms:W3CDTF">2017-04-13T15:25:27Z</dcterms:modified>
</cp:coreProperties>
</file>